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<sst xmlns="http://schemas.openxmlformats.org/spreadsheetml/2006/main" count="398" uniqueCount="198">
  <si>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</si>
  <si>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</si>
  <si>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</si>
  <si>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</si>
  <si>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</si>
  <si>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</si>
  <si>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</si>
  <si>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</si>
  <si>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</si>
  <si>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</si>
  <si>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</si>
  <si>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</si>
  <si>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</si>
  <si>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</si>
  <si>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</si>
  <si>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</si>
  <si>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</si>
  <si>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</si>
  <si>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</si>
  <si>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</si>
  <si>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</si>
  <si>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</si>
  <si>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</si>
  <si>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</si>
  <si>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</si>
  <si>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</si>
  <si>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</si>
  <si>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</si>
  <si>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</si>
  <si>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</si>
  <si>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</si>
  <si>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</si>
  <si>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</si>
  <si>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</si>
  <si>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</si>
  <si>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</si>
  <si>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</si>
  <si>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</si>
  <si>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</si>
  <si>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</si>
  <si>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</si>
  <si>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</si>
  <si>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</si>
  <si>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</si>
  <si>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</si>
  <si>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</si>
  <si>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</si>
  <si>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</si>
  <si>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</si>
  <si>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</si>
  <si>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</si>
  <si>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</si>
  <si>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</si>
  <si>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</si>
  <si>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</si>
  <si>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</si>
  <si>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</si>
  <si>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</si>
  <si>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</si>
  <si>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</si>
  <si>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</si>
  <si>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</si>
  <si>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</si>
  <si>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</si>
  <si>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</si>
  <si>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</si>
  <si>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</si>
  <si>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</si>
  <si>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</si>
  <si>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</si>
  <si>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</si>
  <si>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</si>
  <si>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</si>
  <si>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</si>
  <si>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</si>
  <si>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</si>
  <si>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</si>
  <si>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</si>
  <si>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</si>
  <si>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</si>
  <si>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</si>
  <si>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</si>
  <si>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</si>
  <si>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</si>
  <si>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</si>
  <si>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</si>
  <si>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</si>
  <si>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</si>
  <si>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</si>
  <si>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</si>
  <si>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</si>
  <si>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</si>
  <si>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</si>
  <si>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</si>
  <si>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</si>
  <si>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</si>
  <si>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</si>
  <si>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</si>
  <si>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</si>
  <si>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</si>
  <si>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</si>
  <si>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</si>
  <si>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</si>
  <si>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</si>
  <si>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</si>
  <si>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</si>
  <si>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</si>
  <si>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</si>
  <si>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</si>
  <si>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</si>
  <si>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</si>
  <si>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</si>
  <si>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</si>
  <si>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</si>
  <si>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</si>
  <si>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</si>
  <si>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</si>
  <si>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</si>
  <si>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</si>
  <si>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</si>
  <si>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</si>
  <si>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</si>
  <si>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</si>
  <si>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</si>
  <si>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</si>
  <si>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</si>
  <si>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</si>
  <si>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</si>
  <si>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</si>
  <si>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</si>
  <si>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</si>
  <si>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</si>
  <si>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</si>
  <si>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</si>
  <si>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</si>
  <si>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</si>
  <si>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</si>
  <si>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</si>
  <si>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</si>
  <si>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</si>
  <si>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</si>
  <si>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</si>
  <si>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</si>
  <si>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</si>
  <si>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</si>
  <si>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</si>
  <si>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</si>
  <si>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</si>
  <si>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</si>
  <si>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</si>
  <si>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</si>
  <si>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</si>
  <si>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</si>
  <si>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</si>
  <si>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</si>
  <si>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</si>
  <si>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</si>
  <si>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</si>
  <si>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</si>
  <si>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</si>
  <si>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</si>
  <si>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</si>
  <si>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</si>
  <si>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</si>
  <si>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</si>
  <si>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</si>
  <si>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</si>
  <si>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</si>
  <si>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</si>
  <si>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</si>
  <si>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</si>
  <si>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</si>
  <si>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</si>
  <si>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</si>
  <si>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</si>
  <si>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</si>
  <si>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</si>
  <si>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</si>
  <si>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</si>
  <si>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</si>
  <si>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</si>
  <si>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</si>
  <si>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</si>
  <si>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</si>
  <si>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</si>
  <si>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</si>
  <si>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</si>
  <si>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</si>
  <si>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</si>
  <si>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</si>
  <si>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Тимчасовий план на І півріччя 2014 року </t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</si>
  <si>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</si>
  <si>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</si>
  <si>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</si>
  <si>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</si>
  <si>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План тимчасовий   на січень-лютий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</si>
  <si>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</si>
  <si>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20.02.14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</si>
</sst>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"/>
      <sheetName val="5250-сф"/>
      <sheetName val="очік-02"/>
      <sheetName val="депозит"/>
      <sheetName val="залишки  (2)"/>
      <sheetName val="надх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120989970.22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107164748.25999999</v>
          </cell>
        </row>
      </sheetData>
      <sheetData sheetId="17">
        <row r="28">
          <cell r="C28">
            <v>2641568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50" sqref="F15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53" t="s">
        <v>196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26"/>
      <c r="R1" s="128"/>
    </row>
    <row r="2" spans="2:18" s="1" customFormat="1" ht="15.75" customHeight="1">
      <c r="B2" s="154"/>
      <c r="C2" s="154"/>
      <c r="D2" s="154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55"/>
      <c r="B3" s="157"/>
      <c r="C3" s="158" t="s">
        <v>0</v>
      </c>
      <c r="D3" s="159" t="s">
        <v>191</v>
      </c>
      <c r="E3" s="46"/>
      <c r="F3" s="160" t="s">
        <v>107</v>
      </c>
      <c r="G3" s="161"/>
      <c r="H3" s="161"/>
      <c r="I3" s="161"/>
      <c r="J3" s="162"/>
      <c r="K3" s="123"/>
      <c r="L3" s="123"/>
      <c r="M3" s="163" t="s">
        <v>194</v>
      </c>
      <c r="N3" s="152" t="s">
        <v>188</v>
      </c>
      <c r="O3" s="152"/>
      <c r="P3" s="152"/>
      <c r="Q3" s="127"/>
      <c r="R3" s="130"/>
    </row>
    <row r="4" spans="1:18" ht="22.5" customHeight="1">
      <c r="A4" s="155"/>
      <c r="B4" s="157"/>
      <c r="C4" s="158"/>
      <c r="D4" s="159"/>
      <c r="E4" s="164" t="s">
        <v>195</v>
      </c>
      <c r="F4" s="168" t="s">
        <v>116</v>
      </c>
      <c r="G4" s="170" t="s">
        <v>167</v>
      </c>
      <c r="H4" s="172" t="s">
        <v>168</v>
      </c>
      <c r="I4" s="174" t="s">
        <v>192</v>
      </c>
      <c r="J4" s="180" t="s">
        <v>193</v>
      </c>
      <c r="K4" s="125" t="s">
        <v>174</v>
      </c>
      <c r="L4" s="132" t="s">
        <v>173</v>
      </c>
      <c r="M4" s="163"/>
      <c r="N4" s="182" t="s">
        <v>197</v>
      </c>
      <c r="O4" s="174" t="s">
        <v>136</v>
      </c>
      <c r="P4" s="152" t="s">
        <v>135</v>
      </c>
      <c r="Q4" s="133" t="s">
        <v>174</v>
      </c>
      <c r="R4" s="134" t="s">
        <v>173</v>
      </c>
    </row>
    <row r="5" spans="1:18" ht="82.5" customHeight="1">
      <c r="A5" s="156"/>
      <c r="B5" s="157"/>
      <c r="C5" s="158"/>
      <c r="D5" s="159"/>
      <c r="E5" s="165"/>
      <c r="F5" s="169"/>
      <c r="G5" s="171"/>
      <c r="H5" s="173"/>
      <c r="I5" s="175"/>
      <c r="J5" s="181"/>
      <c r="K5" s="166" t="s">
        <v>187</v>
      </c>
      <c r="L5" s="167"/>
      <c r="M5" s="163"/>
      <c r="N5" s="183"/>
      <c r="O5" s="175"/>
      <c r="P5" s="152"/>
      <c r="Q5" s="166" t="s">
        <v>182</v>
      </c>
      <c r="R5" s="16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</f>
        <v>70030</v>
      </c>
      <c r="F8" s="22">
        <f>F10+F19+F33+F56+F68+F30</f>
        <v>53094.41</v>
      </c>
      <c r="G8" s="22">
        <f aca="true" t="shared" si="0" ref="G8:G30">F8-E8</f>
        <v>-16935.589999999997</v>
      </c>
      <c r="H8" s="51">
        <f>F8/E8*100</f>
        <v>75.81666428673427</v>
      </c>
      <c r="I8" s="36">
        <f aca="true" t="shared" si="1" ref="I8:I17">F8-D8</f>
        <v>-466234.89</v>
      </c>
      <c r="J8" s="36">
        <f aca="true" t="shared" si="2" ref="J8:J14">F8/D8*100</f>
        <v>10.223650003957028</v>
      </c>
      <c r="K8" s="36">
        <f>F8-72579.4</f>
        <v>-19484.98999999999</v>
      </c>
      <c r="L8" s="138">
        <f>F8/72579.4</f>
        <v>0.7315355321206845</v>
      </c>
      <c r="M8" s="22">
        <f>M10+M19+M33+M56+M68+M30</f>
        <v>35825</v>
      </c>
      <c r="N8" s="22">
        <f>N10+N19+N33+N56+N68+N30</f>
        <v>19346.25</v>
      </c>
      <c r="O8" s="36">
        <f aca="true" t="shared" si="3" ref="O8:O71">N8-M8</f>
        <v>-16478.75</v>
      </c>
      <c r="P8" s="36">
        <f>F8/M8*100</f>
        <v>148.2049127704117</v>
      </c>
      <c r="Q8" s="36">
        <f>N8-38977.9</f>
        <v>-19631.65</v>
      </c>
      <c r="R8" s="136">
        <f>N8/31977.9</f>
        <v>0.6049881324289588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43656.82</v>
      </c>
      <c r="G9" s="22">
        <f t="shared" si="0"/>
        <v>43656.82</v>
      </c>
      <c r="H9" s="20"/>
      <c r="I9" s="56">
        <f t="shared" si="1"/>
        <v>-374709.38</v>
      </c>
      <c r="J9" s="56">
        <f t="shared" si="2"/>
        <v>10.435073387859726</v>
      </c>
      <c r="K9" s="56"/>
      <c r="L9" s="137"/>
      <c r="M9" s="20">
        <f>M10+M17</f>
        <v>28750</v>
      </c>
      <c r="N9" s="20">
        <f>N10+N17</f>
        <v>17088.71</v>
      </c>
      <c r="O9" s="36">
        <f t="shared" si="3"/>
        <v>-11661.29</v>
      </c>
      <c r="P9" s="56">
        <f>F9/M9*100</f>
        <v>151.84980869565217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55900</v>
      </c>
      <c r="F10" s="40">
        <f>38829.43+1827.42+2999.97</f>
        <v>43656.82</v>
      </c>
      <c r="G10" s="49">
        <f t="shared" si="0"/>
        <v>-12243.18</v>
      </c>
      <c r="H10" s="40">
        <f aca="true" t="shared" si="4" ref="H10:H17">F10/E10*100</f>
        <v>78.0980679785331</v>
      </c>
      <c r="I10" s="56">
        <f t="shared" si="1"/>
        <v>-374709.38</v>
      </c>
      <c r="J10" s="56">
        <f t="shared" si="2"/>
        <v>10.435073387859726</v>
      </c>
      <c r="K10" s="56">
        <f>F10-55122.8</f>
        <v>-11465.980000000003</v>
      </c>
      <c r="L10" s="137">
        <f>F10/55122.8</f>
        <v>0.791992061361179</v>
      </c>
      <c r="M10" s="40">
        <f>E10-'січень '!E10</f>
        <v>28750</v>
      </c>
      <c r="N10" s="40">
        <f>F10-'січень '!F10</f>
        <v>17088.71</v>
      </c>
      <c r="O10" s="53">
        <f t="shared" si="3"/>
        <v>-11661.29</v>
      </c>
      <c r="P10" s="56">
        <f aca="true" t="shared" si="5" ref="P10:P17">N10/M10*100</f>
        <v>59.43899130434782</v>
      </c>
      <c r="Q10" s="143">
        <f>N10-28390.4</f>
        <v>-11301.690000000002</v>
      </c>
      <c r="R10" s="144">
        <f>N10/28390.4</f>
        <v>0.6019186062894499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200</v>
      </c>
      <c r="F19" s="40">
        <f>397.21+2.7+1.03</f>
        <v>400.93999999999994</v>
      </c>
      <c r="G19" s="49">
        <f t="shared" si="0"/>
        <v>200.93999999999994</v>
      </c>
      <c r="H19" s="40">
        <f aca="true" t="shared" si="6" ref="H19:H28">F19/E19*100</f>
        <v>200.46999999999997</v>
      </c>
      <c r="I19" s="56">
        <f aca="true" t="shared" si="7" ref="I19:I29">F19-D19</f>
        <v>-5599.06</v>
      </c>
      <c r="J19" s="56">
        <f aca="true" t="shared" si="8" ref="J19:J29">F19/D19*100</f>
        <v>6.6823333333333315</v>
      </c>
      <c r="K19" s="56">
        <f>F19-3876</f>
        <v>-3475.06</v>
      </c>
      <c r="L19" s="137">
        <f>F19/3876</f>
        <v>0.10344169246646025</v>
      </c>
      <c r="M19" s="40">
        <f>E19-'січень '!E19</f>
        <v>100</v>
      </c>
      <c r="N19" s="40">
        <f>F19-'січень '!F19</f>
        <v>42.12999999999994</v>
      </c>
      <c r="O19" s="53">
        <f t="shared" si="3"/>
        <v>-57.87000000000006</v>
      </c>
      <c r="P19" s="56">
        <f aca="true" t="shared" si="9" ref="P19:P28">N19/M19*100</f>
        <v>42.12999999999994</v>
      </c>
      <c r="Q19" s="56">
        <f>N19-3681.4</f>
        <v>-3639.27</v>
      </c>
      <c r="R19" s="137">
        <f>N19/3681.4</f>
        <v>0.011444015863530162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7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7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184</v>
      </c>
      <c r="C29" s="145">
        <v>11010232</v>
      </c>
      <c r="D29" s="146">
        <v>3000</v>
      </c>
      <c r="E29" s="41"/>
      <c r="F29" s="148">
        <v>384.09</v>
      </c>
      <c r="G29" s="49"/>
      <c r="H29" s="40"/>
      <c r="I29" s="56">
        <f t="shared" si="7"/>
        <v>-2615.91</v>
      </c>
      <c r="J29" s="56">
        <f t="shared" si="8"/>
        <v>12.803</v>
      </c>
      <c r="K29" s="150">
        <f>F29-322.6</f>
        <v>61.48999999999995</v>
      </c>
      <c r="L29" s="151">
        <f>F29/322.6</f>
        <v>1.190607563546187</v>
      </c>
      <c r="M29" s="148">
        <f>E29-'січень '!E29</f>
        <v>0</v>
      </c>
      <c r="N29" s="148">
        <f>F29-'січень '!F29</f>
        <v>25.299999999999955</v>
      </c>
      <c r="O29" s="150"/>
      <c r="P29" s="56"/>
      <c r="Q29" s="56">
        <f>N29-162.6</f>
        <v>-137.30000000000004</v>
      </c>
      <c r="R29" s="137">
        <f>N29/162.6</f>
        <v>0.15559655596555938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2.91</v>
      </c>
      <c r="G30" s="49">
        <f t="shared" si="0"/>
        <v>2.91</v>
      </c>
      <c r="H30" s="40"/>
      <c r="I30" s="56"/>
      <c r="J30" s="56"/>
      <c r="K30" s="56">
        <f>F30-25.1</f>
        <v>-22.19</v>
      </c>
      <c r="L30" s="137"/>
      <c r="M30" s="40">
        <f>E30-'січень '!E30</f>
        <v>0</v>
      </c>
      <c r="N30" s="40">
        <f>F30-'січень '!F30</f>
        <v>2.91</v>
      </c>
      <c r="O30" s="53">
        <f t="shared" si="3"/>
        <v>2.91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12800</v>
      </c>
      <c r="F33" s="40">
        <f>7636.31+171.09+173.2</f>
        <v>7980.6</v>
      </c>
      <c r="G33" s="49">
        <f aca="true" t="shared" si="14" ref="G33:G72">F33-E33</f>
        <v>-4819.4</v>
      </c>
      <c r="H33" s="40">
        <f aca="true" t="shared" si="15" ref="H33:H67">F33/E33*100</f>
        <v>62.348437499999996</v>
      </c>
      <c r="I33" s="56">
        <f>F33-D33</f>
        <v>-80085.4</v>
      </c>
      <c r="J33" s="56">
        <f aca="true" t="shared" si="16" ref="J33:J72">F33/D33*100</f>
        <v>9.0620670860491</v>
      </c>
      <c r="K33" s="56">
        <f>F33-12535.7</f>
        <v>-4555.1</v>
      </c>
      <c r="L33" s="137">
        <f>F33/12535.7</f>
        <v>0.6366297853330887</v>
      </c>
      <c r="M33" s="40">
        <f>E33-'січень '!E33</f>
        <v>6400</v>
      </c>
      <c r="N33" s="40">
        <f>F33-'січень '!F33</f>
        <v>1687.3100000000004</v>
      </c>
      <c r="O33" s="53">
        <f t="shared" si="3"/>
        <v>-4712.69</v>
      </c>
      <c r="P33" s="56">
        <f aca="true" t="shared" si="17" ref="P33:P67">N33/M33*100</f>
        <v>26.364218750000006</v>
      </c>
      <c r="Q33" s="143">
        <f>N33-6362.9</f>
        <v>-4675.589999999999</v>
      </c>
      <c r="R33" s="144">
        <f>N33/6362.9</f>
        <v>0.26517939933049406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7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4">N34-6362.9</f>
        <v>-6362.9</v>
      </c>
      <c r="R34" s="144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185</v>
      </c>
      <c r="C55" s="65"/>
      <c r="D55" s="146">
        <f>56066+10200</f>
        <v>66266</v>
      </c>
      <c r="E55" s="146">
        <v>9500</v>
      </c>
      <c r="F55" s="148">
        <f>5864.43+140.55+126.3</f>
        <v>6131.280000000001</v>
      </c>
      <c r="G55" s="146">
        <f t="shared" si="14"/>
        <v>-3368.7199999999993</v>
      </c>
      <c r="H55" s="148">
        <f t="shared" si="15"/>
        <v>64.53978947368422</v>
      </c>
      <c r="I55" s="147">
        <f t="shared" si="18"/>
        <v>-60134.72</v>
      </c>
      <c r="J55" s="147">
        <f t="shared" si="16"/>
        <v>9.252527691425467</v>
      </c>
      <c r="K55" s="150">
        <f>F55-9287.5</f>
        <v>-3156.2199999999993</v>
      </c>
      <c r="L55" s="151">
        <f>F55/9287.5</f>
        <v>0.6601647375504711</v>
      </c>
      <c r="M55" s="148">
        <f>E55-'січень '!E55</f>
        <v>4750</v>
      </c>
      <c r="N55" s="148">
        <f>F55-'січень '!F55</f>
        <v>1443.3700000000008</v>
      </c>
      <c r="O55" s="150">
        <f t="shared" si="3"/>
        <v>-3306.629999999999</v>
      </c>
      <c r="P55" s="60">
        <f t="shared" si="17"/>
        <v>30.38673684210528</v>
      </c>
      <c r="Q55" s="143">
        <f>N55-4413.4</f>
        <v>-2970.029999999999</v>
      </c>
      <c r="R55" s="144">
        <f>N55/4413.4</f>
        <v>0.32704264286038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1130</v>
      </c>
      <c r="F56" s="40">
        <f>1048.58+1.91+1.93</f>
        <v>1052.42</v>
      </c>
      <c r="G56" s="49">
        <f t="shared" si="14"/>
        <v>-77.57999999999993</v>
      </c>
      <c r="H56" s="40">
        <f t="shared" si="15"/>
        <v>93.1345132743363</v>
      </c>
      <c r="I56" s="56">
        <f t="shared" si="18"/>
        <v>-5807.58</v>
      </c>
      <c r="J56" s="56">
        <f t="shared" si="16"/>
        <v>15.34139941690962</v>
      </c>
      <c r="K56" s="56">
        <f>F56-1019.7</f>
        <v>32.72000000000003</v>
      </c>
      <c r="L56" s="137">
        <f>F56/1019.7</f>
        <v>1.0320878689810729</v>
      </c>
      <c r="M56" s="40">
        <f>E56-'січень '!E56</f>
        <v>575</v>
      </c>
      <c r="N56" s="40">
        <f>F56-'січень '!F56</f>
        <v>524.6200000000001</v>
      </c>
      <c r="O56" s="53">
        <f t="shared" si="3"/>
        <v>-50.37999999999988</v>
      </c>
      <c r="P56" s="56">
        <f t="shared" si="17"/>
        <v>91.23826086956524</v>
      </c>
      <c r="Q56" s="56">
        <f>N56-518.3</f>
        <v>6.320000000000164</v>
      </c>
      <c r="R56" s="137">
        <f>N56/518.3</f>
        <v>1.0121937102064444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f>0.15+0.57</f>
        <v>0.72</v>
      </c>
      <c r="G68" s="49">
        <f t="shared" si="14"/>
        <v>0.72</v>
      </c>
      <c r="H68" s="40"/>
      <c r="I68" s="56">
        <f t="shared" si="18"/>
        <v>0.62</v>
      </c>
      <c r="J68" s="56">
        <f t="shared" si="16"/>
        <v>719.9999999999999</v>
      </c>
      <c r="K68" s="56">
        <f>F68-0.2</f>
        <v>0.52</v>
      </c>
      <c r="L68" s="137"/>
      <c r="M68" s="40">
        <f>E68-'січень '!E68</f>
        <v>0</v>
      </c>
      <c r="N68" s="40">
        <f>F68-'січень '!F68</f>
        <v>0.57</v>
      </c>
      <c r="O68" s="53">
        <f t="shared" si="3"/>
        <v>0.57</v>
      </c>
      <c r="P68" s="56"/>
      <c r="Q68" s="56">
        <f>N68-0.1</f>
        <v>0.47</v>
      </c>
      <c r="R68" s="137">
        <f>N68/0.1</f>
        <v>5.699999999999999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2512.1</v>
      </c>
      <c r="F74" s="22">
        <f>F77+F86+F88+F89+F94+F95+F96+F97+F99+F103+F87</f>
        <v>1985.3700000000003</v>
      </c>
      <c r="G74" s="50">
        <f aca="true" t="shared" si="24" ref="G74:G92">F74-E74</f>
        <v>-526.7299999999996</v>
      </c>
      <c r="H74" s="51">
        <f aca="true" t="shared" si="25" ref="H74:H86">F74/E74*100</f>
        <v>79.03228374666615</v>
      </c>
      <c r="I74" s="36">
        <f aca="true" t="shared" si="26" ref="I74:I92">F74-D74</f>
        <v>-15680.229999999998</v>
      </c>
      <c r="J74" s="36">
        <f aca="true" t="shared" si="27" ref="J74:J92">F74/D74*100</f>
        <v>11.238621954533107</v>
      </c>
      <c r="K74" s="36">
        <f>F74-2710.3</f>
        <v>-724.9299999999998</v>
      </c>
      <c r="L74" s="138">
        <f>F74/2710.3</f>
        <v>0.7325277644541196</v>
      </c>
      <c r="M74" s="22">
        <f>M77+M86+M88+M89+M94+M95+M96+M97+M99+M87</f>
        <v>1456</v>
      </c>
      <c r="N74" s="22">
        <f>N77+N86+N88+N89+N94+N95+N96+N97+N99+N32+N103+N87</f>
        <v>967.74</v>
      </c>
      <c r="O74" s="55">
        <f aca="true" t="shared" si="28" ref="O74:O92">N74-M74</f>
        <v>-488.26</v>
      </c>
      <c r="P74" s="36">
        <f>N74/M74*100</f>
        <v>66.46565934065934</v>
      </c>
      <c r="Q74" s="36">
        <f>N74-1790.3</f>
        <v>-822.56</v>
      </c>
      <c r="R74" s="138">
        <f>N74/1790.3</f>
        <v>0.5405462771602525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7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301</v>
      </c>
      <c r="F77" s="57">
        <v>15.87</v>
      </c>
      <c r="G77" s="49">
        <f t="shared" si="24"/>
        <v>-285.13</v>
      </c>
      <c r="H77" s="40">
        <f t="shared" si="25"/>
        <v>5.2724252491694354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7">
        <f>F77/1273.9</f>
        <v>0.012457806735222543</v>
      </c>
      <c r="M77" s="40">
        <f>E77-'січень '!E77</f>
        <v>300</v>
      </c>
      <c r="N77" s="40">
        <f>F77-'січень '!F77</f>
        <v>15.87</v>
      </c>
      <c r="O77" s="53">
        <f t="shared" si="28"/>
        <v>-284.13</v>
      </c>
      <c r="P77" s="56">
        <f aca="true" t="shared" si="29" ref="P77:P86">N77/M77*100</f>
        <v>5.289999999999999</v>
      </c>
      <c r="Q77" s="56">
        <f>N77-1273</f>
        <v>-1257.13</v>
      </c>
      <c r="R77" s="137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7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7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7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7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7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7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7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7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100</v>
      </c>
      <c r="F86" s="57">
        <v>0</v>
      </c>
      <c r="G86" s="49">
        <f t="shared" si="24"/>
        <v>-100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7" t="e">
        <f>F86/0*100</f>
        <v>#DIV/0!</v>
      </c>
      <c r="M86" s="40">
        <f>E86-'січень '!E86</f>
        <v>100</v>
      </c>
      <c r="N86" s="40">
        <f>F86-'січень '!F86</f>
        <v>0</v>
      </c>
      <c r="O86" s="53">
        <f t="shared" si="28"/>
        <v>-100</v>
      </c>
      <c r="P86" s="56">
        <f t="shared" si="29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58.88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54.650000000000006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1.1</v>
      </c>
      <c r="F88" s="57">
        <v>3.4</v>
      </c>
      <c r="G88" s="49">
        <f t="shared" si="24"/>
        <v>2.3</v>
      </c>
      <c r="H88" s="40">
        <f>F88/E88*100</f>
        <v>309.09090909090907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7" t="e">
        <f>F88/0*100</f>
        <v>#DIV/0!</v>
      </c>
      <c r="M88" s="40">
        <f>E88-'січень '!E88</f>
        <v>1</v>
      </c>
      <c r="N88" s="40">
        <f>F88-'січень '!F88</f>
        <v>3.4</v>
      </c>
      <c r="O88" s="53">
        <f t="shared" si="28"/>
        <v>2.4</v>
      </c>
      <c r="P88" s="56">
        <f>N88/M88*100</f>
        <v>340</v>
      </c>
      <c r="Q88" s="56">
        <f>N88-0</f>
        <v>3.4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20</v>
      </c>
      <c r="F89" s="57">
        <f>16.96+0.39</f>
        <v>17.35</v>
      </c>
      <c r="G89" s="49">
        <f t="shared" si="24"/>
        <v>-2.6499999999999986</v>
      </c>
      <c r="H89" s="40">
        <f>F89/E89*100</f>
        <v>86.75</v>
      </c>
      <c r="I89" s="56">
        <f t="shared" si="26"/>
        <v>-157.65</v>
      </c>
      <c r="J89" s="56">
        <f t="shared" si="27"/>
        <v>9.914285714285716</v>
      </c>
      <c r="K89" s="56">
        <f>F89-31.6</f>
        <v>-14.25</v>
      </c>
      <c r="L89" s="137">
        <f>F89/31.6</f>
        <v>0.5490506329113924</v>
      </c>
      <c r="M89" s="40">
        <f>E89-'січень '!E89</f>
        <v>10</v>
      </c>
      <c r="N89" s="40">
        <f>F89-'січень '!F89</f>
        <v>8.330000000000002</v>
      </c>
      <c r="O89" s="53">
        <f t="shared" si="28"/>
        <v>-1.6699999999999982</v>
      </c>
      <c r="P89" s="56">
        <f>N89/M89*100</f>
        <v>83.30000000000001</v>
      </c>
      <c r="Q89" s="56">
        <f>N89-19.8</f>
        <v>-11.469999999999999</v>
      </c>
      <c r="R89" s="137">
        <f>N89/19.8</f>
        <v>0.4207070707070708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7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7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7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7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1260</v>
      </c>
      <c r="F95" s="57">
        <f>1147.01+4.88</f>
        <v>1151.89</v>
      </c>
      <c r="G95" s="49">
        <f t="shared" si="31"/>
        <v>-108.1099999999999</v>
      </c>
      <c r="H95" s="40">
        <f>F95/E95*100</f>
        <v>91.41984126984127</v>
      </c>
      <c r="I95" s="56">
        <f t="shared" si="32"/>
        <v>-5148.11</v>
      </c>
      <c r="J95" s="56">
        <f>F95/D95*100</f>
        <v>18.283968253968254</v>
      </c>
      <c r="K95" s="56">
        <f>F95-825</f>
        <v>326.8900000000001</v>
      </c>
      <c r="L95" s="137">
        <f>F95/825</f>
        <v>1.3962303030303032</v>
      </c>
      <c r="M95" s="40">
        <f>E95-'січень '!E95</f>
        <v>630</v>
      </c>
      <c r="N95" s="40">
        <f>F95-'січень '!F95</f>
        <v>504.4000000000001</v>
      </c>
      <c r="O95" s="53">
        <f t="shared" si="33"/>
        <v>-125.59999999999991</v>
      </c>
      <c r="P95" s="56">
        <f>N95/M95*100</f>
        <v>80.06349206349208</v>
      </c>
      <c r="Q95" s="56">
        <f>N95-186.8</f>
        <v>317.6000000000001</v>
      </c>
      <c r="R95" s="137">
        <f>N95/186.8</f>
        <v>2.700214132762313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170</v>
      </c>
      <c r="F96" s="57">
        <f>107.9+1.06+6.07</f>
        <v>115.03</v>
      </c>
      <c r="G96" s="49">
        <f t="shared" si="31"/>
        <v>-54.97</v>
      </c>
      <c r="H96" s="40">
        <f>F96/E96*100</f>
        <v>67.66470588235293</v>
      </c>
      <c r="I96" s="56">
        <f t="shared" si="32"/>
        <v>-1084.97</v>
      </c>
      <c r="J96" s="56">
        <f>F96/D96*100</f>
        <v>9.585833333333333</v>
      </c>
      <c r="K96" s="56">
        <f>F96-60</f>
        <v>55.03</v>
      </c>
      <c r="L96" s="137">
        <f>F96/60</f>
        <v>1.9171666666666667</v>
      </c>
      <c r="M96" s="40">
        <f>E96-'січень '!E96</f>
        <v>85</v>
      </c>
      <c r="N96" s="40">
        <f>F96-'січень '!F96</f>
        <v>35.519999999999996</v>
      </c>
      <c r="O96" s="53">
        <f t="shared" si="33"/>
        <v>-49.480000000000004</v>
      </c>
      <c r="P96" s="56">
        <f>N96/M96*100</f>
        <v>41.78823529411764</v>
      </c>
      <c r="Q96" s="56">
        <f>N96-42.8</f>
        <v>-7.280000000000001</v>
      </c>
      <c r="R96" s="137">
        <f>N96/42.8</f>
        <v>0.8299065420560747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7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660</v>
      </c>
      <c r="F99" s="57">
        <f>544.91+4.31+73.73</f>
        <v>622.9499999999999</v>
      </c>
      <c r="G99" s="49">
        <f t="shared" si="31"/>
        <v>-37.05000000000007</v>
      </c>
      <c r="H99" s="40">
        <f>F99/E99*100</f>
        <v>94.38636363636363</v>
      </c>
      <c r="I99" s="56">
        <f t="shared" si="32"/>
        <v>-3257.05</v>
      </c>
      <c r="J99" s="56">
        <f>F99/D99*100</f>
        <v>16.05541237113402</v>
      </c>
      <c r="K99" s="56">
        <f>F99-488.6</f>
        <v>134.3499999999999</v>
      </c>
      <c r="L99" s="137">
        <f>F99/488.6</f>
        <v>1.274969300040933</v>
      </c>
      <c r="M99" s="40">
        <f>E99-'січень '!E99</f>
        <v>330</v>
      </c>
      <c r="N99" s="40">
        <f>F99-'січень '!F99</f>
        <v>345.56999999999994</v>
      </c>
      <c r="O99" s="53">
        <f t="shared" si="33"/>
        <v>15.569999999999936</v>
      </c>
      <c r="P99" s="56">
        <f>N99/M99*100</f>
        <v>104.7181818181818</v>
      </c>
      <c r="Q99" s="56">
        <f>N99-252.2</f>
        <v>93.36999999999995</v>
      </c>
      <c r="R99" s="137">
        <f>N99/252.2</f>
        <v>1.3702220459952417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7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8">
        <v>124.2</v>
      </c>
      <c r="G102" s="146"/>
      <c r="H102" s="148"/>
      <c r="I102" s="147"/>
      <c r="J102" s="147"/>
      <c r="K102" s="150">
        <f>F102-54.4</f>
        <v>69.80000000000001</v>
      </c>
      <c r="L102" s="151">
        <f>F102/54.4</f>
        <v>2.2830882352941178</v>
      </c>
      <c r="M102" s="148">
        <f>E102-'січень '!E102</f>
        <v>0</v>
      </c>
      <c r="N102" s="148">
        <f>F102-'січень '!F102</f>
        <v>59.5</v>
      </c>
      <c r="O102" s="53"/>
      <c r="P102" s="60"/>
      <c r="Q102" s="60">
        <f>N102-26.6</f>
        <v>32.9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</v>
      </c>
      <c r="F104" s="57">
        <f>2.68+0.009</f>
        <v>2.689</v>
      </c>
      <c r="G104" s="49">
        <f>F104-E104</f>
        <v>0.6890000000000001</v>
      </c>
      <c r="H104" s="40"/>
      <c r="I104" s="56">
        <f t="shared" si="34"/>
        <v>-42.311</v>
      </c>
      <c r="J104" s="56">
        <f aca="true" t="shared" si="36" ref="J104:J109">F104/D104*100</f>
        <v>5.975555555555555</v>
      </c>
      <c r="K104" s="56">
        <f>F104-10.6</f>
        <v>-7.911</v>
      </c>
      <c r="L104" s="137">
        <f>F104/10.6</f>
        <v>0.2536792452830189</v>
      </c>
      <c r="M104" s="40">
        <f>E104-'січень '!E104</f>
        <v>1</v>
      </c>
      <c r="N104" s="40">
        <f>F104-'січень '!F104</f>
        <v>0.4790000000000001</v>
      </c>
      <c r="O104" s="53">
        <f t="shared" si="35"/>
        <v>-0.5209999999999999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</v>
      </c>
      <c r="O105" s="53">
        <f t="shared" si="35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72544.1</v>
      </c>
      <c r="F106" s="22">
        <f>F8+F74+F104+F105</f>
        <v>55082.469000000005</v>
      </c>
      <c r="G106" s="50">
        <f>F106-E106</f>
        <v>-17461.631</v>
      </c>
      <c r="H106" s="51">
        <f>F106/E106*100</f>
        <v>75.92963314728559</v>
      </c>
      <c r="I106" s="36">
        <f t="shared" si="34"/>
        <v>-481957.43100000004</v>
      </c>
      <c r="J106" s="36">
        <f t="shared" si="36"/>
        <v>10.256680928176845</v>
      </c>
      <c r="K106" s="36">
        <f>F106-75300.9</f>
        <v>-20218.43099999999</v>
      </c>
      <c r="L106" s="138">
        <f>F106/75300.9</f>
        <v>0.731498149424509</v>
      </c>
      <c r="M106" s="22">
        <f>M8+M74+M104+M105</f>
        <v>37282</v>
      </c>
      <c r="N106" s="22">
        <f>N8+N74+N104+N105</f>
        <v>20314.469</v>
      </c>
      <c r="O106" s="55">
        <f t="shared" si="35"/>
        <v>-16967.531</v>
      </c>
      <c r="P106" s="36">
        <f>N106/M106*100</f>
        <v>54.48867818250094</v>
      </c>
      <c r="Q106" s="36">
        <f>N106-40779.2</f>
        <v>-20464.730999999996</v>
      </c>
      <c r="R106" s="138">
        <f>N106/40779.2</f>
        <v>0.49815761466630054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56070</v>
      </c>
      <c r="F107" s="71">
        <f>F10-F18+F96</f>
        <v>43771.85</v>
      </c>
      <c r="G107" s="71">
        <f>G10-G18+G96</f>
        <v>-12298.15</v>
      </c>
      <c r="H107" s="72">
        <f>F107/E107*100</f>
        <v>78.06643481362582</v>
      </c>
      <c r="I107" s="52">
        <f t="shared" si="34"/>
        <v>-375794.35000000003</v>
      </c>
      <c r="J107" s="52">
        <f t="shared" si="36"/>
        <v>10.43264447898806</v>
      </c>
      <c r="K107" s="52">
        <f>F107-55213.7</f>
        <v>-11441.849999999999</v>
      </c>
      <c r="L107" s="139">
        <f>F107/55213.7</f>
        <v>0.792771540396677</v>
      </c>
      <c r="M107" s="71">
        <f>M10-M18+M96</f>
        <v>28835</v>
      </c>
      <c r="N107" s="71">
        <f>N10-N18+N96</f>
        <v>17124.23</v>
      </c>
      <c r="O107" s="53">
        <f t="shared" si="35"/>
        <v>-11710.77</v>
      </c>
      <c r="P107" s="52">
        <f>N107/M107*100</f>
        <v>59.38696029131264</v>
      </c>
      <c r="Q107" s="52">
        <f>N107-28449</f>
        <v>-11324.77</v>
      </c>
      <c r="R107" s="139">
        <f>N107/28449</f>
        <v>0.6019273085169953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16474.100000000006</v>
      </c>
      <c r="F108" s="71">
        <f>F106-F107</f>
        <v>11310.619000000006</v>
      </c>
      <c r="G108" s="62">
        <f>F108-E108</f>
        <v>-5163.481</v>
      </c>
      <c r="H108" s="72">
        <f>F108/E108*100</f>
        <v>68.65697670889458</v>
      </c>
      <c r="I108" s="52">
        <f t="shared" si="34"/>
        <v>-106163.081</v>
      </c>
      <c r="J108" s="52">
        <f t="shared" si="36"/>
        <v>9.628213804451553</v>
      </c>
      <c r="K108" s="52">
        <f>F108-20087.2</f>
        <v>-8776.580999999995</v>
      </c>
      <c r="L108" s="139">
        <f>F108/20087.2</f>
        <v>0.5630759389063685</v>
      </c>
      <c r="M108" s="71">
        <f>M106-M107</f>
        <v>8447</v>
      </c>
      <c r="N108" s="71">
        <f>N106-N107</f>
        <v>3190.2390000000014</v>
      </c>
      <c r="O108" s="53">
        <f t="shared" si="35"/>
        <v>-5256.760999999999</v>
      </c>
      <c r="P108" s="52">
        <f>N108/M108*100</f>
        <v>37.76771634899966</v>
      </c>
      <c r="Q108" s="52">
        <f>N108-12330.3</f>
        <v>-9140.060999999998</v>
      </c>
      <c r="R108" s="139">
        <f>N108/12330.3</f>
        <v>0.2587316610301454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43771.85</v>
      </c>
      <c r="G109" s="111">
        <f>F109-E109</f>
        <v>-16242.849999999999</v>
      </c>
      <c r="H109" s="72">
        <f>F109/E109*100</f>
        <v>72.9352142058529</v>
      </c>
      <c r="I109" s="81">
        <f t="shared" si="34"/>
        <v>-375794.35000000003</v>
      </c>
      <c r="J109" s="52">
        <f t="shared" si="36"/>
        <v>10.43264447898806</v>
      </c>
      <c r="K109" s="52"/>
      <c r="L109" s="139"/>
      <c r="M109" s="122">
        <f>E109-'січень '!E109</f>
        <v>31301.299999999996</v>
      </c>
      <c r="N109" s="71">
        <f>N107</f>
        <v>17124.23</v>
      </c>
      <c r="O109" s="118">
        <f t="shared" si="35"/>
        <v>-14177.069999999996</v>
      </c>
      <c r="P109" s="52">
        <f>N109/M109*100</f>
        <v>54.707727794053284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2641.568</v>
      </c>
      <c r="G110" s="62">
        <f>F110-E110</f>
        <v>-577.8429999999998</v>
      </c>
      <c r="H110" s="72"/>
      <c r="I110" s="85">
        <f t="shared" si="34"/>
        <v>-2228.812</v>
      </c>
      <c r="J110" s="52"/>
      <c r="K110" s="52"/>
      <c r="L110" s="139"/>
      <c r="M110" s="40">
        <f>E110-'січень '!E110</f>
        <v>1650.981</v>
      </c>
      <c r="N110" s="71">
        <f>F110-'січень '!F110</f>
        <v>1073.1370000000002</v>
      </c>
      <c r="O110" s="86"/>
      <c r="P110" s="52">
        <f>N110/M110*100</f>
        <v>64.99996062946819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40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1126.05</v>
      </c>
      <c r="F114" s="32">
        <f>127.2+1.097+40.38</f>
        <v>168.677</v>
      </c>
      <c r="G114" s="49">
        <f t="shared" si="37"/>
        <v>-957.3729999999999</v>
      </c>
      <c r="H114" s="40">
        <f aca="true" t="shared" si="39" ref="H114:H125">F114/E114*100</f>
        <v>14.979530216242617</v>
      </c>
      <c r="I114" s="60">
        <f t="shared" si="38"/>
        <v>-3502.823</v>
      </c>
      <c r="J114" s="60">
        <f aca="true" t="shared" si="40" ref="J114:J120">F114/D114*100</f>
        <v>4.594225793272504</v>
      </c>
      <c r="K114" s="60">
        <f>F114-605.5</f>
        <v>-436.823</v>
      </c>
      <c r="L114" s="140">
        <f>F114/605.5</f>
        <v>0.2785747316267547</v>
      </c>
      <c r="M114" s="40">
        <f>E114-'січень '!E114</f>
        <v>563.02</v>
      </c>
      <c r="N114" s="40">
        <f>F114-'січень '!F114</f>
        <v>100.53699999999999</v>
      </c>
      <c r="O114" s="53">
        <f aca="true" t="shared" si="41" ref="O114:O125">N114-M114</f>
        <v>-462.483</v>
      </c>
      <c r="P114" s="60">
        <f>N114/M114*100</f>
        <v>17.856736883236827</v>
      </c>
      <c r="Q114" s="60">
        <f>N114-358.7</f>
        <v>-258.163</v>
      </c>
      <c r="R114" s="140">
        <f>N114/358.7</f>
        <v>0.2802815723445776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50</v>
      </c>
      <c r="F115" s="32">
        <v>46.69</v>
      </c>
      <c r="G115" s="49">
        <f t="shared" si="37"/>
        <v>-3.3100000000000023</v>
      </c>
      <c r="H115" s="40">
        <f t="shared" si="39"/>
        <v>93.38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40">
        <f>F115/39.4</f>
        <v>1.1850253807106599</v>
      </c>
      <c r="M115" s="40">
        <f>E115-'січень '!E115</f>
        <v>25</v>
      </c>
      <c r="N115" s="40">
        <f>F115-'січень '!F115</f>
        <v>22.159999999999997</v>
      </c>
      <c r="O115" s="53">
        <f t="shared" si="41"/>
        <v>-2.8400000000000034</v>
      </c>
      <c r="P115" s="60">
        <f>N115/M115*100</f>
        <v>88.63999999999999</v>
      </c>
      <c r="Q115" s="60">
        <f>N115-16.9</f>
        <v>5.259999999999998</v>
      </c>
      <c r="R115" s="140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1176.05</v>
      </c>
      <c r="F116" s="38">
        <f>SUM(F113:F115)</f>
        <v>212.75699999999998</v>
      </c>
      <c r="G116" s="62">
        <f t="shared" si="37"/>
        <v>-963.293</v>
      </c>
      <c r="H116" s="72">
        <f t="shared" si="39"/>
        <v>18.0908124654564</v>
      </c>
      <c r="I116" s="61">
        <f t="shared" si="38"/>
        <v>-3726.843</v>
      </c>
      <c r="J116" s="61">
        <f t="shared" si="40"/>
        <v>5.400472129150167</v>
      </c>
      <c r="K116" s="61">
        <f>F116-648.9</f>
        <v>-436.14300000000003</v>
      </c>
      <c r="L116" s="141">
        <f>F116/648.9</f>
        <v>0.3278733240869163</v>
      </c>
      <c r="M116" s="62">
        <f>M114+M115+M113</f>
        <v>588.02</v>
      </c>
      <c r="N116" s="38">
        <f>SUM(N113:N115)</f>
        <v>119.90699999999998</v>
      </c>
      <c r="O116" s="61">
        <f t="shared" si="41"/>
        <v>-468.113</v>
      </c>
      <c r="P116" s="61">
        <f>N116/M116*100</f>
        <v>20.391653345124315</v>
      </c>
      <c r="Q116" s="61">
        <f>N116-378.9</f>
        <v>-258.993</v>
      </c>
      <c r="R116" s="141">
        <f>N116/378.9</f>
        <v>0.3164608076009501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40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f>55.63+0.197</f>
        <v>55.827000000000005</v>
      </c>
      <c r="G118" s="49">
        <f t="shared" si="37"/>
        <v>55.827000000000005</v>
      </c>
      <c r="H118" s="40" t="e">
        <f t="shared" si="39"/>
        <v>#DIV/0!</v>
      </c>
      <c r="I118" s="60">
        <f t="shared" si="38"/>
        <v>55.827000000000005</v>
      </c>
      <c r="J118" s="60" t="e">
        <f t="shared" si="40"/>
        <v>#DIV/0!</v>
      </c>
      <c r="K118" s="60">
        <f>F118-5.2</f>
        <v>50.627</v>
      </c>
      <c r="L118" s="140">
        <f>F118/5.2</f>
        <v>10.73596153846154</v>
      </c>
      <c r="M118" s="40">
        <f>E118-'січень '!E118</f>
        <v>0</v>
      </c>
      <c r="N118" s="40">
        <f>F118-'січень '!F118</f>
        <v>1.507000000000005</v>
      </c>
      <c r="O118" s="53" t="s">
        <v>166</v>
      </c>
      <c r="P118" s="60"/>
      <c r="Q118" s="60">
        <f>N118-5</f>
        <v>-3.492999999999995</v>
      </c>
      <c r="R118" s="140">
        <f>N118/5</f>
        <v>0.301400000000001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0</v>
      </c>
      <c r="F119" s="33">
        <f>14510.3+1457.83+548.24</f>
        <v>16516.37</v>
      </c>
      <c r="G119" s="49">
        <f t="shared" si="37"/>
        <v>16516.37</v>
      </c>
      <c r="H119" s="40" t="e">
        <f t="shared" si="39"/>
        <v>#DIV/0!</v>
      </c>
      <c r="I119" s="53">
        <f t="shared" si="38"/>
        <v>-9471.015</v>
      </c>
      <c r="J119" s="60">
        <f t="shared" si="40"/>
        <v>63.55533656041191</v>
      </c>
      <c r="K119" s="60">
        <f>F119-14451.2</f>
        <v>2065.1699999999983</v>
      </c>
      <c r="L119" s="140">
        <f>F119/14451.2</f>
        <v>1.142906471434898</v>
      </c>
      <c r="M119" s="40">
        <f>E119-'січень '!E119</f>
        <v>0</v>
      </c>
      <c r="N119" s="40">
        <f>F119-'січень '!F119</f>
        <v>9036.509999999998</v>
      </c>
      <c r="O119" s="53">
        <f t="shared" si="41"/>
        <v>9036.509999999998</v>
      </c>
      <c r="P119" s="60" t="e">
        <f aca="true" t="shared" si="42" ref="P119:P124">N119/M119*100</f>
        <v>#DIV/0!</v>
      </c>
      <c r="Q119" s="60">
        <f>N119-8093.7</f>
        <v>942.8099999999986</v>
      </c>
      <c r="R119" s="140">
        <f>N119/8093.7</f>
        <v>1.1164868972163533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f>66.75+226.73</f>
        <v>293.48</v>
      </c>
      <c r="G120" s="49">
        <f t="shared" si="37"/>
        <v>293.48</v>
      </c>
      <c r="H120" s="40" t="e">
        <f t="shared" si="39"/>
        <v>#DIV/0!</v>
      </c>
      <c r="I120" s="60">
        <f t="shared" si="38"/>
        <v>293.48</v>
      </c>
      <c r="J120" s="60" t="e">
        <f t="shared" si="40"/>
        <v>#DIV/0!</v>
      </c>
      <c r="K120" s="60">
        <f>F120-280.4</f>
        <v>13.080000000000041</v>
      </c>
      <c r="L120" s="140">
        <f>F120/230.3*100</f>
        <v>127.43378202344769</v>
      </c>
      <c r="M120" s="40">
        <f>E120-'січень '!E120</f>
        <v>0</v>
      </c>
      <c r="N120" s="40">
        <f>F120-'січень '!F120</f>
        <v>293.44</v>
      </c>
      <c r="O120" s="53">
        <f t="shared" si="41"/>
        <v>293.44</v>
      </c>
      <c r="P120" s="60" t="e">
        <f t="shared" si="42"/>
        <v>#DIV/0!</v>
      </c>
      <c r="Q120" s="60">
        <f>N120-230.3</f>
        <v>63.139999999999986</v>
      </c>
      <c r="R120" s="140">
        <f>N120/230.3</f>
        <v>1.2741641337386018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f>649.2+2.54+2.125</f>
        <v>653.865</v>
      </c>
      <c r="G121" s="49">
        <f t="shared" si="37"/>
        <v>653.865</v>
      </c>
      <c r="H121" s="40" t="e">
        <f t="shared" si="39"/>
        <v>#DIV/0!</v>
      </c>
      <c r="I121" s="60">
        <f t="shared" si="38"/>
        <v>653.865</v>
      </c>
      <c r="J121" s="60" t="e">
        <f>F121/D121*100</f>
        <v>#DIV/0!</v>
      </c>
      <c r="K121" s="60">
        <f>F121-238.5</f>
        <v>415.365</v>
      </c>
      <c r="L121" s="140">
        <f>F121/280.4</f>
        <v>2.3319008559201144</v>
      </c>
      <c r="M121" s="40">
        <f>E121-'січень '!E121</f>
        <v>0</v>
      </c>
      <c r="N121" s="40">
        <f>F121-'січень '!F121</f>
        <v>203.85500000000002</v>
      </c>
      <c r="O121" s="53">
        <f t="shared" si="41"/>
        <v>203.85500000000002</v>
      </c>
      <c r="P121" s="60" t="e">
        <f t="shared" si="42"/>
        <v>#DIV/0!</v>
      </c>
      <c r="Q121" s="60">
        <f>N121-50.2</f>
        <v>153.65500000000003</v>
      </c>
      <c r="R121" s="140">
        <f>N121/50.2</f>
        <v>4.06085657370518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45.1</v>
      </c>
      <c r="G122" s="49">
        <f t="shared" si="37"/>
        <v>45.1</v>
      </c>
      <c r="H122" s="40" t="e">
        <f t="shared" si="39"/>
        <v>#DIV/0!</v>
      </c>
      <c r="I122" s="60">
        <f t="shared" si="38"/>
        <v>45.1</v>
      </c>
      <c r="J122" s="60" t="e">
        <f>F122/D122*100</f>
        <v>#DIV/0!</v>
      </c>
      <c r="K122" s="60">
        <f>F122-306.8</f>
        <v>-261.7</v>
      </c>
      <c r="L122" s="140">
        <f>F122/306.8</f>
        <v>0.1470013037809648</v>
      </c>
      <c r="M122" s="40">
        <f>E122-'січень '!E122</f>
        <v>0</v>
      </c>
      <c r="N122" s="40">
        <f>F122-'січень '!F122</f>
        <v>44.050000000000004</v>
      </c>
      <c r="O122" s="53">
        <f t="shared" si="41"/>
        <v>44.050000000000004</v>
      </c>
      <c r="P122" s="60" t="e">
        <f t="shared" si="42"/>
        <v>#DIV/0!</v>
      </c>
      <c r="Q122" s="60">
        <f>N122-292.3</f>
        <v>-248.25</v>
      </c>
      <c r="R122" s="140">
        <f>N122/292.3</f>
        <v>0.15070133424563806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0</v>
      </c>
      <c r="F123" s="38">
        <f>F119+F120+F121+F122+F118</f>
        <v>17564.642</v>
      </c>
      <c r="G123" s="62">
        <f t="shared" si="37"/>
        <v>17564.642</v>
      </c>
      <c r="H123" s="72" t="e">
        <f t="shared" si="39"/>
        <v>#DIV/0!</v>
      </c>
      <c r="I123" s="61">
        <f t="shared" si="38"/>
        <v>-8422.742999999999</v>
      </c>
      <c r="J123" s="61">
        <f>F123/D123*100</f>
        <v>67.5891091004347</v>
      </c>
      <c r="K123" s="61">
        <f>F123-15573.7</f>
        <v>1990.941999999999</v>
      </c>
      <c r="L123" s="141">
        <f>F123/15573.7</f>
        <v>1.1278400123284769</v>
      </c>
      <c r="M123" s="62">
        <f>M119+M120+M121+M122+M118</f>
        <v>0</v>
      </c>
      <c r="N123" s="62">
        <f>N119+N120+N121+N122+N118</f>
        <v>9579.361999999997</v>
      </c>
      <c r="O123" s="61">
        <f t="shared" si="41"/>
        <v>9579.361999999997</v>
      </c>
      <c r="P123" s="61" t="e">
        <f t="shared" si="42"/>
        <v>#DIV/0!</v>
      </c>
      <c r="Q123" s="61">
        <f>N123-8732.6</f>
        <v>846.761999999997</v>
      </c>
      <c r="R123" s="141">
        <f>N123/8732.6</f>
        <v>1.0969656230675855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</v>
      </c>
      <c r="F124" s="33">
        <v>0.16</v>
      </c>
      <c r="G124" s="49">
        <f t="shared" si="37"/>
        <v>0.16</v>
      </c>
      <c r="H124" s="40" t="e">
        <f t="shared" si="39"/>
        <v>#DIV/0!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0</v>
      </c>
      <c r="N124" s="40">
        <f>F124-'січень '!F124</f>
        <v>0</v>
      </c>
      <c r="O124" s="53">
        <f t="shared" si="41"/>
        <v>0</v>
      </c>
      <c r="P124" s="60" t="e">
        <f t="shared" si="42"/>
        <v>#DIV/0!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0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1460.19</v>
      </c>
      <c r="F127" s="33">
        <f>117.11+3366.86+0.296</f>
        <v>3484.266</v>
      </c>
      <c r="G127" s="49">
        <f aca="true" t="shared" si="43" ref="G127:G134">F127-E127</f>
        <v>2024.076</v>
      </c>
      <c r="H127" s="40">
        <f>F127/E127*100</f>
        <v>238.61730322766218</v>
      </c>
      <c r="I127" s="60">
        <f aca="true" t="shared" si="44" ref="I127:I134">F127-D127</f>
        <v>-5215.734</v>
      </c>
      <c r="J127" s="60">
        <f>F127/D127*100</f>
        <v>40.04903448275862</v>
      </c>
      <c r="K127" s="60">
        <f>F127-2439.3</f>
        <v>1044.966</v>
      </c>
      <c r="L127" s="140">
        <f>F127/2439.3</f>
        <v>1.4283876521953018</v>
      </c>
      <c r="M127" s="40">
        <f>E127-'січень '!E127</f>
        <v>730.09</v>
      </c>
      <c r="N127" s="40">
        <f>F127-'січень '!F127</f>
        <v>3466.596</v>
      </c>
      <c r="O127" s="53">
        <f aca="true" t="shared" si="45" ref="O127:O134">N127-M127</f>
        <v>2736.506</v>
      </c>
      <c r="P127" s="60">
        <f>N127/M127*100</f>
        <v>474.8176252242874</v>
      </c>
      <c r="Q127" s="60">
        <f>N127-2355</f>
        <v>1111.596</v>
      </c>
      <c r="R127" s="140">
        <f>N127/2355</f>
        <v>1.4720152866242038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3"/>
        <v>-0.16</v>
      </c>
      <c r="H128" s="40"/>
      <c r="I128" s="60">
        <f t="shared" si="44"/>
        <v>-0.16</v>
      </c>
      <c r="J128" s="60"/>
      <c r="K128" s="60">
        <f>F128-0.3</f>
        <v>-0.45999999999999996</v>
      </c>
      <c r="L128" s="140">
        <f>F128/0.3</f>
        <v>-0.5333333333333333</v>
      </c>
      <c r="M128" s="40">
        <f>E128-'січень '!E128</f>
        <v>0</v>
      </c>
      <c r="N128" s="40">
        <f>F128-'січень '!F128</f>
        <v>0.04999999999999999</v>
      </c>
      <c r="O128" s="53">
        <f t="shared" si="45"/>
        <v>0.04999999999999999</v>
      </c>
      <c r="P128" s="60"/>
      <c r="Q128" s="60">
        <f>N128-0.1</f>
        <v>-0.05000000000000002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1460.19</v>
      </c>
      <c r="F129" s="38">
        <f>F127+F124+F128+F126</f>
        <v>3493.0260000000003</v>
      </c>
      <c r="G129" s="62">
        <f t="shared" si="43"/>
        <v>2032.8360000000002</v>
      </c>
      <c r="H129" s="72">
        <f>F129/E129*100</f>
        <v>239.21722515563047</v>
      </c>
      <c r="I129" s="61">
        <f t="shared" si="44"/>
        <v>-5257.674000000001</v>
      </c>
      <c r="J129" s="61">
        <f>F129/D129*100</f>
        <v>39.91710377455518</v>
      </c>
      <c r="K129" s="61">
        <f>F129-2474.4</f>
        <v>1018.6260000000002</v>
      </c>
      <c r="L129" s="141">
        <f>G129/2474.4</f>
        <v>0.8215470417070806</v>
      </c>
      <c r="M129" s="62">
        <f>M124+M127+M128+M126</f>
        <v>730.09</v>
      </c>
      <c r="N129" s="62">
        <f>N124+N127+N128+N126</f>
        <v>3466.646</v>
      </c>
      <c r="O129" s="61">
        <f t="shared" si="45"/>
        <v>2736.556</v>
      </c>
      <c r="P129" s="61">
        <f>N129/M129*100</f>
        <v>474.8244736950239</v>
      </c>
      <c r="Q129" s="61">
        <f>N129-2389.7</f>
        <v>1076.9460000000004</v>
      </c>
      <c r="R129" s="139">
        <f>N129/2389.7</f>
        <v>1.4506615893208354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-29.55</v>
      </c>
      <c r="J130" s="60">
        <f>F130/D130*100</f>
        <v>1.5000000000000002</v>
      </c>
      <c r="K130" s="60">
        <f>F130-1</f>
        <v>-0.55</v>
      </c>
      <c r="L130" s="140">
        <f>F130/1</f>
        <v>0.45</v>
      </c>
      <c r="M130" s="40">
        <f>E130-'січень '!E130</f>
        <v>0</v>
      </c>
      <c r="N130" s="40">
        <f>F130-'січень '!F130</f>
        <v>0</v>
      </c>
      <c r="O130" s="53">
        <f>N130-M130</f>
        <v>0</v>
      </c>
      <c r="P130" s="60" t="e">
        <f>N130/M130*100</f>
        <v>#DIV/0!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604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302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18.48</v>
      </c>
      <c r="F132" s="33">
        <v>0</v>
      </c>
      <c r="G132" s="49">
        <f t="shared" si="43"/>
        <v>-18.48</v>
      </c>
      <c r="H132" s="40">
        <f>F132/E132*100</f>
        <v>0</v>
      </c>
      <c r="I132" s="60">
        <f t="shared" si="44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9.24</v>
      </c>
      <c r="N132" s="40">
        <f>F132-'січень '!F132</f>
        <v>0</v>
      </c>
      <c r="O132" s="53">
        <f t="shared" si="45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3258.72</v>
      </c>
      <c r="F133" s="31">
        <f>F116+F130+F123+F129+F132+F131</f>
        <v>21270.875</v>
      </c>
      <c r="G133" s="50">
        <f t="shared" si="43"/>
        <v>18012.155</v>
      </c>
      <c r="H133" s="51">
        <f>F133/E133*100</f>
        <v>652.7371176412826</v>
      </c>
      <c r="I133" s="36">
        <f t="shared" si="44"/>
        <v>-17436.809999999998</v>
      </c>
      <c r="J133" s="36">
        <f>F133/D133*100</f>
        <v>54.95258887220975</v>
      </c>
      <c r="K133" s="36">
        <f>F133-18698.1</f>
        <v>2572.7750000000015</v>
      </c>
      <c r="L133" s="138">
        <f>F133/18698.1</f>
        <v>1.1375955310967425</v>
      </c>
      <c r="M133" s="31">
        <f>M116+M130+M123+M129+M132+M131</f>
        <v>1629.3500000000001</v>
      </c>
      <c r="N133" s="31">
        <f>N116+N130+N123+N129+N132+N131</f>
        <v>13165.914999999997</v>
      </c>
      <c r="O133" s="36">
        <f t="shared" si="45"/>
        <v>11536.564999999997</v>
      </c>
      <c r="P133" s="36">
        <f>N133/M133*100</f>
        <v>808.0470739865588</v>
      </c>
      <c r="Q133" s="36">
        <f>N133-11501.6</f>
        <v>1664.3149999999969</v>
      </c>
      <c r="R133" s="138">
        <f>N133/11501.6</f>
        <v>1.144702910899353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75802.82</v>
      </c>
      <c r="F134" s="31">
        <f>F106+F133</f>
        <v>76353.34400000001</v>
      </c>
      <c r="G134" s="50">
        <f t="shared" si="43"/>
        <v>550.5240000000049</v>
      </c>
      <c r="H134" s="51">
        <f>F134/E134*100</f>
        <v>100.72625794132726</v>
      </c>
      <c r="I134" s="36">
        <f t="shared" si="44"/>
        <v>-499394.2409999999</v>
      </c>
      <c r="J134" s="36">
        <f>F134/D134*100</f>
        <v>13.261600393860101</v>
      </c>
      <c r="K134" s="36">
        <f>F134-93999</f>
        <v>-17645.655999999988</v>
      </c>
      <c r="L134" s="138">
        <f>F134/93999</f>
        <v>0.8122782582793435</v>
      </c>
      <c r="M134" s="22">
        <f>M106+M133</f>
        <v>38911.35</v>
      </c>
      <c r="N134" s="22">
        <f>N106+N133</f>
        <v>33480.384</v>
      </c>
      <c r="O134" s="36">
        <f t="shared" si="45"/>
        <v>-5430.966</v>
      </c>
      <c r="P134" s="36">
        <f>N134/M134*100</f>
        <v>86.04272018318562</v>
      </c>
      <c r="Q134" s="36">
        <f>N134-52280.8</f>
        <v>-18800.416000000005</v>
      </c>
      <c r="R134" s="138">
        <f>N134/52280.8</f>
        <v>0.6403954032838058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6</v>
      </c>
      <c r="D136" s="4" t="s">
        <v>118</v>
      </c>
    </row>
    <row r="137" spans="2:17" ht="31.5">
      <c r="B137" s="78" t="s">
        <v>154</v>
      </c>
      <c r="C137" s="39">
        <f>IF(O106&lt;0,ABS(O106/C136),0)</f>
        <v>2827.9218333333333</v>
      </c>
      <c r="D137" s="4" t="s">
        <v>104</v>
      </c>
      <c r="G137" s="176"/>
      <c r="H137" s="176"/>
      <c r="I137" s="176"/>
      <c r="J137" s="17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41690</v>
      </c>
      <c r="D138" s="39">
        <v>3261.4</v>
      </c>
      <c r="N138" s="177"/>
      <c r="O138" s="177"/>
    </row>
    <row r="139" spans="3:15" ht="15.75">
      <c r="C139" s="120">
        <v>41689</v>
      </c>
      <c r="D139" s="39">
        <v>2008.9</v>
      </c>
      <c r="F139" s="4" t="s">
        <v>166</v>
      </c>
      <c r="G139" s="178" t="s">
        <v>151</v>
      </c>
      <c r="H139" s="178"/>
      <c r="I139" s="115">
        <f>'[1]залишки  (2)'!$G$9/1000</f>
        <v>13825.22196</v>
      </c>
      <c r="J139" s="179" t="s">
        <v>161</v>
      </c>
      <c r="K139" s="179"/>
      <c r="L139" s="179"/>
      <c r="M139" s="179"/>
      <c r="N139" s="177"/>
      <c r="O139" s="177"/>
    </row>
    <row r="140" spans="3:15" ht="15.75">
      <c r="C140" s="120">
        <v>41688</v>
      </c>
      <c r="D140" s="39">
        <v>1029.2</v>
      </c>
      <c r="G140" s="184" t="s">
        <v>155</v>
      </c>
      <c r="H140" s="184"/>
      <c r="I140" s="112">
        <v>0</v>
      </c>
      <c r="J140" s="185" t="s">
        <v>162</v>
      </c>
      <c r="K140" s="185"/>
      <c r="L140" s="185"/>
      <c r="M140" s="185"/>
      <c r="N140" s="177"/>
      <c r="O140" s="177"/>
    </row>
    <row r="141" spans="7:13" ht="15.75" customHeight="1">
      <c r="G141" s="178" t="s">
        <v>148</v>
      </c>
      <c r="H141" s="178"/>
      <c r="I141" s="112">
        <f>'[1]залишки  (2)'!$G$8/1000</f>
        <v>0</v>
      </c>
      <c r="J141" s="179" t="s">
        <v>163</v>
      </c>
      <c r="K141" s="179"/>
      <c r="L141" s="179"/>
      <c r="M141" s="179"/>
    </row>
    <row r="142" spans="2:13" ht="18.75" customHeight="1">
      <c r="B142" s="186" t="s">
        <v>160</v>
      </c>
      <c r="C142" s="187"/>
      <c r="D142" s="117">
        <f>'[1]залишки  (2)'!$G$6/1000</f>
        <v>120989.97022</v>
      </c>
      <c r="E142" s="80"/>
      <c r="F142" s="100" t="s">
        <v>147</v>
      </c>
      <c r="G142" s="178" t="s">
        <v>149</v>
      </c>
      <c r="H142" s="178"/>
      <c r="I142" s="116">
        <f>'[1]залишки  (2)'!$G$10/1000</f>
        <v>107164.74826</v>
      </c>
      <c r="J142" s="179" t="s">
        <v>164</v>
      </c>
      <c r="K142" s="179"/>
      <c r="L142" s="179"/>
      <c r="M142" s="179"/>
    </row>
    <row r="143" spans="7:12" ht="9.75" customHeight="1">
      <c r="G143" s="188"/>
      <c r="H143" s="188"/>
      <c r="I143" s="98"/>
      <c r="J143" s="99"/>
      <c r="K143" s="99"/>
      <c r="L143" s="99"/>
    </row>
    <row r="144" spans="2:12" ht="22.5" customHeight="1">
      <c r="B144" s="189" t="s">
        <v>169</v>
      </c>
      <c r="C144" s="190"/>
      <c r="D144" s="119">
        <v>0</v>
      </c>
      <c r="E144" s="77" t="s">
        <v>104</v>
      </c>
      <c r="G144" s="188"/>
      <c r="H144" s="188"/>
      <c r="I144" s="98"/>
      <c r="J144" s="99"/>
      <c r="K144" s="99"/>
      <c r="L144" s="99"/>
    </row>
    <row r="145" spans="4:15" ht="15.75">
      <c r="D145" s="114"/>
      <c r="N145" s="188"/>
      <c r="O145" s="188"/>
    </row>
    <row r="146" spans="4:15" ht="15.75">
      <c r="D146" s="113"/>
      <c r="I146" s="39"/>
      <c r="N146" s="191"/>
      <c r="O146" s="191"/>
    </row>
    <row r="147" spans="14:15" ht="15.75">
      <c r="N147" s="188"/>
      <c r="O147" s="18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56" sqref="F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53" t="s">
        <v>186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26"/>
      <c r="R1" s="128"/>
    </row>
    <row r="2" spans="2:18" s="1" customFormat="1" ht="15.75" customHeight="1">
      <c r="B2" s="154"/>
      <c r="C2" s="154"/>
      <c r="D2" s="154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55"/>
      <c r="B3" s="157"/>
      <c r="C3" s="158" t="s">
        <v>0</v>
      </c>
      <c r="D3" s="159" t="s">
        <v>190</v>
      </c>
      <c r="E3" s="46"/>
      <c r="F3" s="160" t="s">
        <v>107</v>
      </c>
      <c r="G3" s="161"/>
      <c r="H3" s="161"/>
      <c r="I3" s="161"/>
      <c r="J3" s="162"/>
      <c r="K3" s="123"/>
      <c r="L3" s="123"/>
      <c r="M3" s="163" t="s">
        <v>181</v>
      </c>
      <c r="N3" s="152" t="s">
        <v>180</v>
      </c>
      <c r="O3" s="152"/>
      <c r="P3" s="152"/>
      <c r="Q3" s="127"/>
      <c r="R3" s="130"/>
    </row>
    <row r="4" spans="1:18" ht="22.5" customHeight="1">
      <c r="A4" s="155"/>
      <c r="B4" s="157"/>
      <c r="C4" s="158"/>
      <c r="D4" s="159"/>
      <c r="E4" s="164" t="s">
        <v>153</v>
      </c>
      <c r="F4" s="168" t="s">
        <v>116</v>
      </c>
      <c r="G4" s="170" t="s">
        <v>175</v>
      </c>
      <c r="H4" s="172" t="s">
        <v>176</v>
      </c>
      <c r="I4" s="174" t="s">
        <v>177</v>
      </c>
      <c r="J4" s="180" t="s">
        <v>178</v>
      </c>
      <c r="K4" s="125" t="s">
        <v>174</v>
      </c>
      <c r="L4" s="132" t="s">
        <v>173</v>
      </c>
      <c r="M4" s="163"/>
      <c r="N4" s="182" t="s">
        <v>189</v>
      </c>
      <c r="O4" s="174" t="s">
        <v>136</v>
      </c>
      <c r="P4" s="152" t="s">
        <v>135</v>
      </c>
      <c r="Q4" s="133" t="s">
        <v>174</v>
      </c>
      <c r="R4" s="134" t="s">
        <v>173</v>
      </c>
    </row>
    <row r="5" spans="1:18" ht="82.5" customHeight="1">
      <c r="A5" s="156"/>
      <c r="B5" s="157"/>
      <c r="C5" s="158"/>
      <c r="D5" s="159"/>
      <c r="E5" s="165"/>
      <c r="F5" s="169"/>
      <c r="G5" s="171"/>
      <c r="H5" s="173"/>
      <c r="I5" s="175"/>
      <c r="J5" s="181"/>
      <c r="K5" s="166" t="s">
        <v>179</v>
      </c>
      <c r="L5" s="167"/>
      <c r="M5" s="163"/>
      <c r="N5" s="183"/>
      <c r="O5" s="175"/>
      <c r="P5" s="152"/>
      <c r="Q5" s="166" t="s">
        <v>182</v>
      </c>
      <c r="R5" s="16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45">
        <v>11010232</v>
      </c>
      <c r="D29" s="41"/>
      <c r="E29" s="41"/>
      <c r="F29" s="148">
        <v>358.79</v>
      </c>
      <c r="G29" s="49"/>
      <c r="H29" s="40"/>
      <c r="I29" s="56"/>
      <c r="J29" s="56"/>
      <c r="K29" s="147">
        <f>F29-160.03</f>
        <v>198.76000000000002</v>
      </c>
      <c r="L29" s="14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56">
        <f aca="true" t="shared" si="20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46">
        <v>28580</v>
      </c>
      <c r="E55" s="146">
        <v>4750</v>
      </c>
      <c r="F55" s="148">
        <v>4687.91</v>
      </c>
      <c r="G55" s="146">
        <f t="shared" si="14"/>
        <v>-62.090000000000146</v>
      </c>
      <c r="H55" s="148">
        <f t="shared" si="15"/>
        <v>98.69284210526315</v>
      </c>
      <c r="I55" s="147">
        <f t="shared" si="18"/>
        <v>-23892.09</v>
      </c>
      <c r="J55" s="147">
        <f t="shared" si="16"/>
        <v>16.402764170748775</v>
      </c>
      <c r="K55" s="147">
        <f>F55-4574.19</f>
        <v>113.72000000000025</v>
      </c>
      <c r="L55" s="147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 aca="true" t="shared" si="27" ref="L57:L67"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 t="shared" si="27"/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 t="shared" si="27"/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 t="shared" si="27"/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 t="shared" si="27"/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 t="shared" si="27"/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 t="shared" si="27"/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 t="shared" si="27"/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 t="shared" si="27"/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 t="shared" si="27"/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 t="shared" si="27"/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8" ref="G74:G92">F74-E74</f>
        <v>-38.469999999999914</v>
      </c>
      <c r="H74" s="51">
        <f aca="true" t="shared" si="29" ref="H74:H86">F74/E74*100</f>
        <v>96.3573525234353</v>
      </c>
      <c r="I74" s="36">
        <f aca="true" t="shared" si="30" ref="I74:I92">F74-D74</f>
        <v>-6688.47</v>
      </c>
      <c r="J74" s="36">
        <f aca="true" t="shared" si="31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2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8"/>
        <v>#REF!</v>
      </c>
      <c r="H75" s="40" t="e">
        <f t="shared" si="29"/>
        <v>#REF!</v>
      </c>
      <c r="I75" s="56" t="e">
        <f t="shared" si="30"/>
        <v>#REF!</v>
      </c>
      <c r="J75" s="56" t="e">
        <f t="shared" si="31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2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8"/>
        <v>0</v>
      </c>
      <c r="H76" s="40" t="e">
        <f t="shared" si="29"/>
        <v>#DIV/0!</v>
      </c>
      <c r="I76" s="56" t="e">
        <f t="shared" si="30"/>
        <v>#REF!</v>
      </c>
      <c r="J76" s="56" t="e">
        <f t="shared" si="31"/>
        <v>#REF!</v>
      </c>
      <c r="K76" s="56"/>
      <c r="L76" s="56"/>
      <c r="M76" s="59"/>
      <c r="N76" s="59"/>
      <c r="O76" s="53">
        <f t="shared" si="32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8"/>
        <v>-1</v>
      </c>
      <c r="H77" s="40">
        <f t="shared" si="29"/>
        <v>0</v>
      </c>
      <c r="I77" s="56">
        <f t="shared" si="30"/>
        <v>-671</v>
      </c>
      <c r="J77" s="56">
        <f t="shared" si="31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2"/>
        <v>-1</v>
      </c>
      <c r="P77" s="56">
        <f aca="true" t="shared" si="33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8"/>
        <v>0</v>
      </c>
      <c r="H78" s="40" t="e">
        <f t="shared" si="29"/>
        <v>#DIV/0!</v>
      </c>
      <c r="I78" s="56">
        <f t="shared" si="30"/>
        <v>0</v>
      </c>
      <c r="J78" s="56" t="e">
        <f t="shared" si="31"/>
        <v>#DIV/0!</v>
      </c>
      <c r="K78" s="56"/>
      <c r="L78" s="56">
        <f aca="true" t="shared" si="34" ref="L78:L101">F78</f>
        <v>0</v>
      </c>
      <c r="M78" s="40">
        <f aca="true" t="shared" si="35" ref="M78:M105">E78</f>
        <v>0</v>
      </c>
      <c r="N78" s="40">
        <f aca="true" t="shared" si="36" ref="N78:N105">F78</f>
        <v>0</v>
      </c>
      <c r="O78" s="53">
        <f t="shared" si="32"/>
        <v>0</v>
      </c>
      <c r="P78" s="56" t="e">
        <f t="shared" si="33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8"/>
        <v>0</v>
      </c>
      <c r="H79" s="40" t="e">
        <f t="shared" si="29"/>
        <v>#DIV/0!</v>
      </c>
      <c r="I79" s="56">
        <f t="shared" si="30"/>
        <v>0</v>
      </c>
      <c r="J79" s="56" t="e">
        <f t="shared" si="31"/>
        <v>#DIV/0!</v>
      </c>
      <c r="K79" s="56"/>
      <c r="L79" s="56">
        <f t="shared" si="34"/>
        <v>0</v>
      </c>
      <c r="M79" s="40">
        <f t="shared" si="35"/>
        <v>0</v>
      </c>
      <c r="N79" s="40">
        <f t="shared" si="36"/>
        <v>0</v>
      </c>
      <c r="O79" s="53">
        <f t="shared" si="32"/>
        <v>0</v>
      </c>
      <c r="P79" s="56" t="e">
        <f t="shared" si="33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8"/>
        <v>0</v>
      </c>
      <c r="H80" s="40" t="e">
        <f t="shared" si="29"/>
        <v>#DIV/0!</v>
      </c>
      <c r="I80" s="56">
        <f t="shared" si="30"/>
        <v>0</v>
      </c>
      <c r="J80" s="56" t="e">
        <f t="shared" si="31"/>
        <v>#DIV/0!</v>
      </c>
      <c r="K80" s="56"/>
      <c r="L80" s="56">
        <f t="shared" si="34"/>
        <v>0</v>
      </c>
      <c r="M80" s="40">
        <f t="shared" si="35"/>
        <v>0</v>
      </c>
      <c r="N80" s="40">
        <f t="shared" si="36"/>
        <v>0</v>
      </c>
      <c r="O80" s="53">
        <f t="shared" si="32"/>
        <v>0</v>
      </c>
      <c r="P80" s="56" t="e">
        <f t="shared" si="33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8"/>
        <v>0</v>
      </c>
      <c r="H81" s="40" t="e">
        <f t="shared" si="29"/>
        <v>#DIV/0!</v>
      </c>
      <c r="I81" s="56">
        <f t="shared" si="30"/>
        <v>0</v>
      </c>
      <c r="J81" s="56" t="e">
        <f t="shared" si="31"/>
        <v>#DIV/0!</v>
      </c>
      <c r="K81" s="56"/>
      <c r="L81" s="56">
        <f t="shared" si="34"/>
        <v>0</v>
      </c>
      <c r="M81" s="40">
        <f t="shared" si="35"/>
        <v>0</v>
      </c>
      <c r="N81" s="40">
        <f t="shared" si="36"/>
        <v>0</v>
      </c>
      <c r="O81" s="53">
        <f t="shared" si="32"/>
        <v>0</v>
      </c>
      <c r="P81" s="56" t="e">
        <f t="shared" si="33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8"/>
        <v>0</v>
      </c>
      <c r="H82" s="40" t="e">
        <f t="shared" si="29"/>
        <v>#DIV/0!</v>
      </c>
      <c r="I82" s="56">
        <f t="shared" si="30"/>
        <v>0</v>
      </c>
      <c r="J82" s="56" t="e">
        <f t="shared" si="31"/>
        <v>#DIV/0!</v>
      </c>
      <c r="K82" s="56"/>
      <c r="L82" s="56">
        <f t="shared" si="34"/>
        <v>0</v>
      </c>
      <c r="M82" s="40">
        <f t="shared" si="35"/>
        <v>0</v>
      </c>
      <c r="N82" s="40">
        <f t="shared" si="36"/>
        <v>0</v>
      </c>
      <c r="O82" s="53">
        <f t="shared" si="32"/>
        <v>0</v>
      </c>
      <c r="P82" s="56" t="e">
        <f t="shared" si="33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8"/>
        <v>0</v>
      </c>
      <c r="H83" s="40" t="e">
        <f t="shared" si="29"/>
        <v>#DIV/0!</v>
      </c>
      <c r="I83" s="56">
        <f t="shared" si="30"/>
        <v>0</v>
      </c>
      <c r="J83" s="56" t="e">
        <f t="shared" si="31"/>
        <v>#DIV/0!</v>
      </c>
      <c r="K83" s="56"/>
      <c r="L83" s="56">
        <f t="shared" si="34"/>
        <v>0</v>
      </c>
      <c r="M83" s="40">
        <f t="shared" si="35"/>
        <v>0</v>
      </c>
      <c r="N83" s="40">
        <f t="shared" si="36"/>
        <v>0</v>
      </c>
      <c r="O83" s="53">
        <f t="shared" si="32"/>
        <v>0</v>
      </c>
      <c r="P83" s="56" t="e">
        <f t="shared" si="33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8"/>
        <v>0</v>
      </c>
      <c r="H84" s="40" t="e">
        <f t="shared" si="29"/>
        <v>#DIV/0!</v>
      </c>
      <c r="I84" s="56">
        <f t="shared" si="30"/>
        <v>0</v>
      </c>
      <c r="J84" s="56" t="e">
        <f t="shared" si="31"/>
        <v>#DIV/0!</v>
      </c>
      <c r="K84" s="56"/>
      <c r="L84" s="56">
        <f t="shared" si="34"/>
        <v>0</v>
      </c>
      <c r="M84" s="40">
        <f t="shared" si="35"/>
        <v>0</v>
      </c>
      <c r="N84" s="40">
        <f t="shared" si="36"/>
        <v>0</v>
      </c>
      <c r="O84" s="53">
        <f t="shared" si="32"/>
        <v>0</v>
      </c>
      <c r="P84" s="56" t="e">
        <f t="shared" si="33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8"/>
        <v>0</v>
      </c>
      <c r="H85" s="40" t="e">
        <f t="shared" si="29"/>
        <v>#DIV/0!</v>
      </c>
      <c r="I85" s="56">
        <f t="shared" si="30"/>
        <v>0</v>
      </c>
      <c r="J85" s="56" t="e">
        <f t="shared" si="31"/>
        <v>#DIV/0!</v>
      </c>
      <c r="K85" s="56"/>
      <c r="L85" s="56">
        <f t="shared" si="34"/>
        <v>0</v>
      </c>
      <c r="M85" s="40">
        <f t="shared" si="35"/>
        <v>0</v>
      </c>
      <c r="N85" s="40">
        <f t="shared" si="36"/>
        <v>0</v>
      </c>
      <c r="O85" s="53">
        <f t="shared" si="32"/>
        <v>0</v>
      </c>
      <c r="P85" s="56" t="e">
        <f t="shared" si="33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8"/>
        <v>0</v>
      </c>
      <c r="H86" s="40" t="e">
        <f t="shared" si="29"/>
        <v>#DIV/0!</v>
      </c>
      <c r="I86" s="56">
        <f t="shared" si="30"/>
        <v>-700</v>
      </c>
      <c r="J86" s="56">
        <f t="shared" si="31"/>
        <v>0</v>
      </c>
      <c r="K86" s="56">
        <f>F86-0</f>
        <v>0</v>
      </c>
      <c r="L86" s="56" t="e">
        <f>F86/0*100</f>
        <v>#DIV/0!</v>
      </c>
      <c r="M86" s="40">
        <f t="shared" si="35"/>
        <v>0</v>
      </c>
      <c r="N86" s="40">
        <f t="shared" si="36"/>
        <v>0</v>
      </c>
      <c r="O86" s="53">
        <f t="shared" si="32"/>
        <v>0</v>
      </c>
      <c r="P86" s="56" t="e">
        <f t="shared" si="33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5"/>
        <v>0</v>
      </c>
      <c r="N87" s="40">
        <f t="shared" si="36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8"/>
        <v>-0.1</v>
      </c>
      <c r="H88" s="40">
        <f>F88/E88*100</f>
        <v>0</v>
      </c>
      <c r="I88" s="56">
        <f t="shared" si="30"/>
        <v>-5.1</v>
      </c>
      <c r="J88" s="56">
        <f t="shared" si="31"/>
        <v>0</v>
      </c>
      <c r="K88" s="56">
        <f>F88-0</f>
        <v>0</v>
      </c>
      <c r="L88" s="56" t="e">
        <f>F88/0*100</f>
        <v>#DIV/0!</v>
      </c>
      <c r="M88" s="40">
        <f t="shared" si="35"/>
        <v>0.1</v>
      </c>
      <c r="N88" s="40">
        <f t="shared" si="36"/>
        <v>0</v>
      </c>
      <c r="O88" s="53">
        <f t="shared" si="32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8"/>
        <v>-0.9800000000000004</v>
      </c>
      <c r="H89" s="40">
        <f>F89/E89*100</f>
        <v>90.19999999999999</v>
      </c>
      <c r="I89" s="56">
        <f t="shared" si="30"/>
        <v>-50.980000000000004</v>
      </c>
      <c r="J89" s="56">
        <f t="shared" si="31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5"/>
        <v>10</v>
      </c>
      <c r="N89" s="40">
        <f t="shared" si="36"/>
        <v>9.02</v>
      </c>
      <c r="O89" s="53">
        <f t="shared" si="32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8"/>
        <v>0</v>
      </c>
      <c r="H90" s="40" t="e">
        <f>F90/E90*100</f>
        <v>#DIV/0!</v>
      </c>
      <c r="I90" s="56">
        <f t="shared" si="30"/>
        <v>0</v>
      </c>
      <c r="J90" s="56" t="e">
        <f t="shared" si="31"/>
        <v>#DIV/0!</v>
      </c>
      <c r="K90" s="56"/>
      <c r="L90" s="56">
        <f t="shared" si="34"/>
        <v>0</v>
      </c>
      <c r="M90" s="40">
        <f t="shared" si="35"/>
        <v>0</v>
      </c>
      <c r="N90" s="40">
        <f t="shared" si="36"/>
        <v>0</v>
      </c>
      <c r="O90" s="53">
        <f t="shared" si="32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8"/>
        <v>0</v>
      </c>
      <c r="H91" s="40" t="e">
        <f>F91/E91*100</f>
        <v>#DIV/0!</v>
      </c>
      <c r="I91" s="56">
        <f t="shared" si="30"/>
        <v>0</v>
      </c>
      <c r="J91" s="56" t="e">
        <f t="shared" si="31"/>
        <v>#DIV/0!</v>
      </c>
      <c r="K91" s="56"/>
      <c r="L91" s="56">
        <f t="shared" si="34"/>
        <v>0</v>
      </c>
      <c r="M91" s="40">
        <f t="shared" si="35"/>
        <v>0</v>
      </c>
      <c r="N91" s="40">
        <f t="shared" si="36"/>
        <v>0</v>
      </c>
      <c r="O91" s="53">
        <f t="shared" si="32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8"/>
        <v>0</v>
      </c>
      <c r="H92" s="40" t="e">
        <f>F92/E92*100</f>
        <v>#DIV/0!</v>
      </c>
      <c r="I92" s="56">
        <f t="shared" si="30"/>
        <v>0</v>
      </c>
      <c r="J92" s="56" t="e">
        <f t="shared" si="31"/>
        <v>#DIV/0!</v>
      </c>
      <c r="K92" s="56"/>
      <c r="L92" s="56">
        <f t="shared" si="34"/>
        <v>0</v>
      </c>
      <c r="M92" s="40">
        <f t="shared" si="35"/>
        <v>0</v>
      </c>
      <c r="N92" s="40">
        <f t="shared" si="36"/>
        <v>0</v>
      </c>
      <c r="O92" s="53">
        <f t="shared" si="32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4"/>
        <v>0</v>
      </c>
      <c r="M93" s="40">
        <f t="shared" si="35"/>
        <v>0</v>
      </c>
      <c r="N93" s="40">
        <f t="shared" si="36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7" ref="G94:G101">F94-E94</f>
        <v>0</v>
      </c>
      <c r="H94" s="40"/>
      <c r="I94" s="56">
        <f aca="true" t="shared" si="38" ref="I94:I100">F94-D94</f>
        <v>0</v>
      </c>
      <c r="J94" s="56"/>
      <c r="K94" s="56"/>
      <c r="L94" s="56">
        <f t="shared" si="34"/>
        <v>0</v>
      </c>
      <c r="M94" s="40">
        <f t="shared" si="35"/>
        <v>0</v>
      </c>
      <c r="N94" s="40">
        <f t="shared" si="36"/>
        <v>0</v>
      </c>
      <c r="O94" s="53">
        <f aca="true" t="shared" si="39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7"/>
        <v>17.49000000000001</v>
      </c>
      <c r="H95" s="40">
        <f>F95/E95*100</f>
        <v>102.7761904761905</v>
      </c>
      <c r="I95" s="56">
        <f t="shared" si="38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5"/>
        <v>630</v>
      </c>
      <c r="N95" s="40">
        <f t="shared" si="36"/>
        <v>647.49</v>
      </c>
      <c r="O95" s="53">
        <f t="shared" si="39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7"/>
        <v>-5.489999999999995</v>
      </c>
      <c r="H96" s="40">
        <f>F96/E96*100</f>
        <v>93.54117647058824</v>
      </c>
      <c r="I96" s="56">
        <f t="shared" si="38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5"/>
        <v>85</v>
      </c>
      <c r="N96" s="40">
        <f t="shared" si="36"/>
        <v>79.51</v>
      </c>
      <c r="O96" s="53">
        <f t="shared" si="39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7"/>
        <v>0</v>
      </c>
      <c r="H97" s="40"/>
      <c r="I97" s="56">
        <f t="shared" si="38"/>
        <v>0</v>
      </c>
      <c r="J97" s="56"/>
      <c r="K97" s="56"/>
      <c r="L97" s="56"/>
      <c r="M97" s="40">
        <f t="shared" si="35"/>
        <v>0</v>
      </c>
      <c r="N97" s="40">
        <f t="shared" si="36"/>
        <v>0</v>
      </c>
      <c r="O97" s="53">
        <f t="shared" si="39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7"/>
        <v>0</v>
      </c>
      <c r="H98" s="40" t="e">
        <f>F98/E98*100</f>
        <v>#DIV/0!</v>
      </c>
      <c r="I98" s="56">
        <f t="shared" si="38"/>
        <v>0</v>
      </c>
      <c r="J98" s="56" t="e">
        <f>F98/D98*100</f>
        <v>#DIV/0!</v>
      </c>
      <c r="K98" s="56"/>
      <c r="L98" s="56">
        <f t="shared" si="34"/>
        <v>0</v>
      </c>
      <c r="M98" s="40">
        <f t="shared" si="35"/>
        <v>0</v>
      </c>
      <c r="N98" s="40">
        <f t="shared" si="36"/>
        <v>0</v>
      </c>
      <c r="O98" s="53">
        <f t="shared" si="39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7"/>
        <v>-52.620000000000005</v>
      </c>
      <c r="H99" s="40">
        <f>F99/E99*100</f>
        <v>84.05454545454545</v>
      </c>
      <c r="I99" s="56">
        <f t="shared" si="38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5"/>
        <v>330</v>
      </c>
      <c r="N99" s="40">
        <f t="shared" si="36"/>
        <v>277.38</v>
      </c>
      <c r="O99" s="53">
        <f t="shared" si="39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7"/>
        <v>0</v>
      </c>
      <c r="H100" s="40" t="e">
        <f>F100/E100*100</f>
        <v>#DIV/0!</v>
      </c>
      <c r="I100" s="56">
        <f t="shared" si="38"/>
        <v>0</v>
      </c>
      <c r="J100" s="56" t="e">
        <f>F100/D100*100</f>
        <v>#DIV/0!</v>
      </c>
      <c r="K100" s="56"/>
      <c r="L100" s="56">
        <f t="shared" si="34"/>
        <v>0</v>
      </c>
      <c r="M100" s="40">
        <f t="shared" si="35"/>
        <v>0</v>
      </c>
      <c r="N100" s="40">
        <f t="shared" si="36"/>
        <v>0</v>
      </c>
      <c r="O100" s="53">
        <f t="shared" si="39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7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4"/>
        <v>0</v>
      </c>
      <c r="M101" s="40">
        <f t="shared" si="35"/>
        <v>0</v>
      </c>
      <c r="N101" s="40">
        <f t="shared" si="36"/>
        <v>0</v>
      </c>
      <c r="O101" s="53">
        <f t="shared" si="39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9">
        <v>64.7</v>
      </c>
      <c r="G102" s="146"/>
      <c r="H102" s="148"/>
      <c r="I102" s="147"/>
      <c r="J102" s="147"/>
      <c r="K102" s="147">
        <f>F102-30.6</f>
        <v>34.1</v>
      </c>
      <c r="L102" s="150">
        <f>F102/30.6*100</f>
        <v>211.43790849673204</v>
      </c>
      <c r="M102" s="40">
        <f t="shared" si="35"/>
        <v>0</v>
      </c>
      <c r="N102" s="40">
        <f t="shared" si="36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40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5"/>
        <v>0</v>
      </c>
      <c r="N103" s="40">
        <f t="shared" si="36"/>
        <v>0</v>
      </c>
      <c r="O103" s="53">
        <f aca="true" t="shared" si="41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40"/>
        <v>-3.79</v>
      </c>
      <c r="J104" s="56">
        <f aca="true" t="shared" si="42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5"/>
        <v>1</v>
      </c>
      <c r="N104" s="40">
        <f t="shared" si="36"/>
        <v>2.21</v>
      </c>
      <c r="O104" s="53">
        <f t="shared" si="41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5"/>
        <v>0</v>
      </c>
      <c r="N105" s="40">
        <f t="shared" si="36"/>
        <v>0</v>
      </c>
      <c r="O105" s="53">
        <f t="shared" si="41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40"/>
        <v>-196209.2</v>
      </c>
      <c r="J106" s="36">
        <f t="shared" si="42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1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40"/>
        <v>-154082.38</v>
      </c>
      <c r="J107" s="52">
        <f t="shared" si="42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1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40"/>
        <v>-42126.82000000001</v>
      </c>
      <c r="J108" s="52">
        <f t="shared" si="42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1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0"/>
        <v>-392918.58</v>
      </c>
      <c r="J109" s="52">
        <f t="shared" si="42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1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0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3" ref="G113:G125">F113-E113</f>
        <v>0.18</v>
      </c>
      <c r="H113" s="40"/>
      <c r="I113" s="60">
        <f aca="true" t="shared" si="44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5" ref="M113:N115">E113</f>
        <v>0</v>
      </c>
      <c r="N113" s="40">
        <f t="shared" si="45"/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3"/>
        <v>-494.89</v>
      </c>
      <c r="H114" s="40">
        <f aca="true" t="shared" si="46" ref="H114:H125">F114/E114*100</f>
        <v>12.102374651439533</v>
      </c>
      <c r="I114" s="60">
        <f t="shared" si="44"/>
        <v>-3310.02</v>
      </c>
      <c r="J114" s="60">
        <f aca="true" t="shared" si="47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 t="shared" si="45"/>
        <v>563.03</v>
      </c>
      <c r="N114" s="40">
        <f t="shared" si="45"/>
        <v>68.14</v>
      </c>
      <c r="O114" s="53">
        <f aca="true" t="shared" si="48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3"/>
        <v>-0.46999999999999886</v>
      </c>
      <c r="H115" s="40">
        <f t="shared" si="46"/>
        <v>98.12</v>
      </c>
      <c r="I115" s="60">
        <f t="shared" si="44"/>
        <v>-125.47</v>
      </c>
      <c r="J115" s="60">
        <f t="shared" si="47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 t="shared" si="45"/>
        <v>25</v>
      </c>
      <c r="N115" s="40">
        <f t="shared" si="45"/>
        <v>24.53</v>
      </c>
      <c r="O115" s="53">
        <f t="shared" si="48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3"/>
        <v>-495.17999999999995</v>
      </c>
      <c r="H116" s="72">
        <f t="shared" si="46"/>
        <v>15.790010713739097</v>
      </c>
      <c r="I116" s="61">
        <f t="shared" si="44"/>
        <v>-3435.31</v>
      </c>
      <c r="J116" s="61">
        <f t="shared" si="47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8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3"/>
        <v>0</v>
      </c>
      <c r="H117" s="40" t="e">
        <f t="shared" si="46"/>
        <v>#DIV/0!</v>
      </c>
      <c r="I117" s="60">
        <f t="shared" si="44"/>
        <v>0</v>
      </c>
      <c r="J117" s="60" t="e">
        <f t="shared" si="47"/>
        <v>#DIV/0!</v>
      </c>
      <c r="K117" s="60"/>
      <c r="L117" s="60"/>
      <c r="M117" s="41">
        <v>0</v>
      </c>
      <c r="N117" s="41">
        <f aca="true" t="shared" si="49" ref="N117:N122">F117</f>
        <v>0</v>
      </c>
      <c r="O117" s="53">
        <f t="shared" si="48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3"/>
        <v>54.32</v>
      </c>
      <c r="H118" s="40" t="e">
        <f t="shared" si="46"/>
        <v>#DIV/0!</v>
      </c>
      <c r="I118" s="60">
        <f t="shared" si="44"/>
        <v>54.32</v>
      </c>
      <c r="J118" s="60" t="e">
        <f t="shared" si="47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49"/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3"/>
        <v>7479.86</v>
      </c>
      <c r="H119" s="40" t="e">
        <f t="shared" si="46"/>
        <v>#DIV/0!</v>
      </c>
      <c r="I119" s="53">
        <f t="shared" si="44"/>
        <v>7479.86</v>
      </c>
      <c r="J119" s="60" t="e">
        <f t="shared" si="47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 t="shared" si="49"/>
        <v>7479.86</v>
      </c>
      <c r="O119" s="53">
        <f t="shared" si="48"/>
        <v>7479.86</v>
      </c>
      <c r="P119" s="60" t="e">
        <f aca="true" t="shared" si="50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3"/>
        <v>0.04</v>
      </c>
      <c r="H120" s="40" t="e">
        <f t="shared" si="46"/>
        <v>#DIV/0!</v>
      </c>
      <c r="I120" s="60">
        <f t="shared" si="44"/>
        <v>0.04</v>
      </c>
      <c r="J120" s="60" t="e">
        <f t="shared" si="47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49"/>
        <v>0.04</v>
      </c>
      <c r="O120" s="53">
        <f t="shared" si="48"/>
        <v>0.04</v>
      </c>
      <c r="P120" s="60" t="e">
        <f t="shared" si="50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3"/>
        <v>450.01</v>
      </c>
      <c r="H121" s="40" t="e">
        <f t="shared" si="46"/>
        <v>#DIV/0!</v>
      </c>
      <c r="I121" s="60">
        <f t="shared" si="44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49"/>
        <v>450.01</v>
      </c>
      <c r="O121" s="53">
        <f t="shared" si="48"/>
        <v>450.01</v>
      </c>
      <c r="P121" s="60" t="e">
        <f t="shared" si="50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3"/>
        <v>1.05</v>
      </c>
      <c r="H122" s="40" t="e">
        <f t="shared" si="46"/>
        <v>#DIV/0!</v>
      </c>
      <c r="I122" s="60">
        <f t="shared" si="44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49"/>
        <v>1.05</v>
      </c>
      <c r="O122" s="53">
        <f t="shared" si="48"/>
        <v>1.05</v>
      </c>
      <c r="P122" s="60" t="e">
        <f t="shared" si="50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3"/>
        <v>7985.28</v>
      </c>
      <c r="H123" s="72" t="e">
        <f t="shared" si="46"/>
        <v>#DIV/0!</v>
      </c>
      <c r="I123" s="61">
        <f t="shared" si="44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8"/>
        <v>7985.28</v>
      </c>
      <c r="P123" s="61" t="e">
        <f t="shared" si="50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3"/>
        <v>0.16</v>
      </c>
      <c r="H124" s="40" t="e">
        <f t="shared" si="46"/>
        <v>#DIV/0!</v>
      </c>
      <c r="I124" s="60">
        <f t="shared" si="44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 aca="true" t="shared" si="51" ref="M124:N128">E124</f>
        <v>0</v>
      </c>
      <c r="N124" s="40">
        <f t="shared" si="51"/>
        <v>0.16</v>
      </c>
      <c r="O124" s="53">
        <f t="shared" si="48"/>
        <v>0.16</v>
      </c>
      <c r="P124" s="60" t="e">
        <f t="shared" si="50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3"/>
        <v>0</v>
      </c>
      <c r="H125" s="40" t="e">
        <f t="shared" si="46"/>
        <v>#DIV/0!</v>
      </c>
      <c r="I125" s="63"/>
      <c r="J125" s="63"/>
      <c r="K125" s="63"/>
      <c r="L125" s="60">
        <f>F125</f>
        <v>0</v>
      </c>
      <c r="M125" s="40">
        <f t="shared" si="51"/>
        <v>0</v>
      </c>
      <c r="N125" s="40">
        <f t="shared" si="51"/>
        <v>0</v>
      </c>
      <c r="O125" s="53">
        <f t="shared" si="48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1"/>
        <v>0</v>
      </c>
      <c r="N126" s="40">
        <f t="shared" si="51"/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52" ref="G127:G134">F127-E127</f>
        <v>-712.4300000000001</v>
      </c>
      <c r="H127" s="40">
        <f>F127/E127*100</f>
        <v>2.4202164087111355</v>
      </c>
      <c r="I127" s="60">
        <f aca="true" t="shared" si="53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 t="shared" si="51"/>
        <v>730.1</v>
      </c>
      <c r="N127" s="40">
        <f t="shared" si="51"/>
        <v>17.67</v>
      </c>
      <c r="O127" s="53">
        <f aca="true" t="shared" si="54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2"/>
        <v>-0.21</v>
      </c>
      <c r="H128" s="40"/>
      <c r="I128" s="60">
        <f t="shared" si="53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1"/>
        <v>0</v>
      </c>
      <c r="N128" s="40">
        <f t="shared" si="51"/>
        <v>-0.21</v>
      </c>
      <c r="O128" s="53">
        <f t="shared" si="54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52"/>
        <v>-703.72</v>
      </c>
      <c r="H129" s="72">
        <f>F129/E129*100</f>
        <v>3.6132036707300372</v>
      </c>
      <c r="I129" s="61">
        <f t="shared" si="53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4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 aca="true" t="shared" si="55" ref="M130:N132">E130</f>
        <v>0</v>
      </c>
      <c r="N130" s="40">
        <f t="shared" si="55"/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5"/>
        <v>302</v>
      </c>
      <c r="N131" s="40">
        <f t="shared" si="55"/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52"/>
        <v>-9.24</v>
      </c>
      <c r="H132" s="40">
        <f>F132/E132*100</f>
        <v>0</v>
      </c>
      <c r="I132" s="60">
        <f t="shared" si="53"/>
        <v>-55.43</v>
      </c>
      <c r="J132" s="60">
        <f>F132/D132*100</f>
        <v>0</v>
      </c>
      <c r="K132" s="60"/>
      <c r="L132" s="60">
        <f>F132/65.9*100</f>
        <v>0</v>
      </c>
      <c r="M132" s="40">
        <f t="shared" si="55"/>
        <v>9.24</v>
      </c>
      <c r="N132" s="40">
        <f t="shared" si="55"/>
        <v>0</v>
      </c>
      <c r="O132" s="53">
        <f t="shared" si="54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52"/>
        <v>6475.59</v>
      </c>
      <c r="H133" s="51">
        <f>F133/E133*100</f>
        <v>497.4290676764639</v>
      </c>
      <c r="I133" s="36">
        <f t="shared" si="53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4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52"/>
        <v>5981.489999999998</v>
      </c>
      <c r="H134" s="51">
        <f>F134/E134*100</f>
        <v>116.21374805612245</v>
      </c>
      <c r="I134" s="36">
        <f t="shared" si="53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4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6"/>
      <c r="H137" s="176"/>
      <c r="I137" s="176"/>
      <c r="J137" s="17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8" t="s">
        <v>151</v>
      </c>
      <c r="H139" s="178"/>
      <c r="I139" s="115">
        <v>13825.22</v>
      </c>
      <c r="J139" s="179" t="s">
        <v>161</v>
      </c>
      <c r="K139" s="179"/>
      <c r="L139" s="179"/>
      <c r="M139" s="179"/>
      <c r="N139" s="177"/>
      <c r="O139" s="177"/>
    </row>
    <row r="140" spans="3:15" ht="15.75">
      <c r="C140" s="120">
        <v>41668</v>
      </c>
      <c r="D140" s="39">
        <v>1984.7</v>
      </c>
      <c r="G140" s="184" t="s">
        <v>155</v>
      </c>
      <c r="H140" s="184"/>
      <c r="I140" s="112">
        <v>0</v>
      </c>
      <c r="J140" s="185" t="s">
        <v>162</v>
      </c>
      <c r="K140" s="185"/>
      <c r="L140" s="185"/>
      <c r="M140" s="185"/>
      <c r="N140" s="177"/>
      <c r="O140" s="177"/>
    </row>
    <row r="141" spans="7:13" ht="15.75" customHeight="1">
      <c r="G141" s="178" t="s">
        <v>148</v>
      </c>
      <c r="H141" s="178"/>
      <c r="I141" s="112">
        <v>0</v>
      </c>
      <c r="J141" s="179" t="s">
        <v>163</v>
      </c>
      <c r="K141" s="179"/>
      <c r="L141" s="179"/>
      <c r="M141" s="179"/>
    </row>
    <row r="142" spans="2:13" ht="18.75" customHeight="1">
      <c r="B142" s="186" t="s">
        <v>160</v>
      </c>
      <c r="C142" s="187"/>
      <c r="D142" s="117">
        <v>111410.62</v>
      </c>
      <c r="E142" s="80"/>
      <c r="F142" s="100" t="s">
        <v>147</v>
      </c>
      <c r="G142" s="178" t="s">
        <v>149</v>
      </c>
      <c r="H142" s="178"/>
      <c r="I142" s="116">
        <v>97585.4</v>
      </c>
      <c r="J142" s="179" t="s">
        <v>164</v>
      </c>
      <c r="K142" s="179"/>
      <c r="L142" s="179"/>
      <c r="M142" s="179"/>
    </row>
    <row r="143" spans="7:12" ht="9.75" customHeight="1">
      <c r="G143" s="188"/>
      <c r="H143" s="188"/>
      <c r="I143" s="98"/>
      <c r="J143" s="99"/>
      <c r="K143" s="99"/>
      <c r="L143" s="99"/>
    </row>
    <row r="144" spans="2:12" ht="22.5" customHeight="1">
      <c r="B144" s="189" t="s">
        <v>169</v>
      </c>
      <c r="C144" s="190"/>
      <c r="D144" s="119">
        <v>0</v>
      </c>
      <c r="E144" s="77" t="s">
        <v>104</v>
      </c>
      <c r="G144" s="188"/>
      <c r="H144" s="188"/>
      <c r="I144" s="98"/>
      <c r="J144" s="99"/>
      <c r="K144" s="99"/>
      <c r="L144" s="99"/>
    </row>
    <row r="145" spans="4:15" ht="15.75">
      <c r="D145" s="114"/>
      <c r="N145" s="188"/>
      <c r="O145" s="188"/>
    </row>
    <row r="146" spans="4:15" ht="15.75">
      <c r="D146" s="113"/>
      <c r="I146" s="39"/>
      <c r="N146" s="191"/>
      <c r="O146" s="191"/>
    </row>
    <row r="147" spans="14:15" ht="15.75">
      <c r="N147" s="188"/>
      <c r="O147" s="18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2014-02-21T08:49:01Z</cp:lastPrinted>
  <dcterms:created xsi:type="dcterms:W3CDTF">2003-07-28T11:27:56Z</dcterms:created>
  <dcterms:modified xsi:type="dcterms:W3CDTF">2014-02-21T08:58:23Z</dcterms:modified>
  <cp:category/>
  <cp:version/>
  <cp:contentType/>
  <cp:contentStatus/>
</cp:coreProperties>
</file>